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5bc5ab0a284d54f5/Desktop/"/>
    </mc:Choice>
  </mc:AlternateContent>
  <xr:revisionPtr revIDLastSave="0" documentId="8_{543C2F6C-9FE4-42A7-A13B-85D5C01D0005}" xr6:coauthVersionLast="47" xr6:coauthVersionMax="47" xr10:uidLastSave="{00000000-0000-0000-0000-000000000000}"/>
  <bookViews>
    <workbookView xWindow="-108" yWindow="-108" windowWidth="23256" windowHeight="12456" firstSheet="1" activeTab="15" xr2:uid="{00000000-000D-0000-FFFF-FFFF0000000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Lapas1" sheetId="44" r:id="rId25"/>
    <sheet name="Sąrašai" sheetId="11" state="hidden" r:id="rId26"/>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42" l="1"/>
  <c r="C53" i="42"/>
  <c r="C28" i="42"/>
  <c r="B1" i="42"/>
  <c r="D46" i="5" s="1"/>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E32" i="42"/>
  <c r="F32" i="42"/>
  <c r="G32" i="42"/>
  <c r="H32" i="42"/>
  <c r="I32" i="42"/>
  <c r="J32" i="42"/>
  <c r="K32" i="42"/>
  <c r="D32"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A1" i="36"/>
  <c r="D43" i="5"/>
  <c r="B1" i="38"/>
  <c r="A1" i="38"/>
  <c r="A1" i="41"/>
  <c r="C1468" i="41"/>
  <c r="B25" i="38"/>
  <c r="B42" i="38" s="1"/>
  <c r="B59" i="38" s="1"/>
  <c r="B76" i="38" s="1"/>
  <c r="B93" i="38" s="1"/>
  <c r="B110" i="38" s="1"/>
  <c r="B127" i="38" s="1"/>
  <c r="B144" i="38" s="1"/>
  <c r="B161" i="38" s="1"/>
  <c r="B178" i="38" s="1"/>
  <c r="B195" i="38" s="1"/>
  <c r="B212" i="38" s="1"/>
  <c r="B229" i="38" s="1"/>
  <c r="B246" i="38" s="1"/>
  <c r="B263" i="38" s="1"/>
  <c r="B280" i="38" s="1"/>
  <c r="B297" i="38" s="1"/>
  <c r="B314" i="38" s="1"/>
  <c r="B331" i="38" s="1"/>
  <c r="B27" i="38"/>
  <c r="B44" i="38" s="1"/>
  <c r="B61" i="38" s="1"/>
  <c r="B78" i="38" s="1"/>
  <c r="B95" i="38" s="1"/>
  <c r="B112" i="38" s="1"/>
  <c r="B129" i="38" s="1"/>
  <c r="B146" i="38" s="1"/>
  <c r="B163" i="38" s="1"/>
  <c r="B180" i="38" s="1"/>
  <c r="B197" i="38" s="1"/>
  <c r="B214" i="38" s="1"/>
  <c r="B231" i="38" s="1"/>
  <c r="B248" i="38" s="1"/>
  <c r="B265" i="38" s="1"/>
  <c r="B282" i="38" s="1"/>
  <c r="B299" i="38" s="1"/>
  <c r="B316" i="38" s="1"/>
  <c r="B333" i="38" s="1"/>
  <c r="B28" i="38"/>
  <c r="B45" i="38" s="1"/>
  <c r="B62" i="38" s="1"/>
  <c r="B79" i="38" s="1"/>
  <c r="B96" i="38" s="1"/>
  <c r="B113" i="38" s="1"/>
  <c r="B130" i="38" s="1"/>
  <c r="B147" i="38" s="1"/>
  <c r="B164" i="38" s="1"/>
  <c r="B181" i="38" s="1"/>
  <c r="B198" i="38" s="1"/>
  <c r="B215" i="38" s="1"/>
  <c r="B232" i="38" s="1"/>
  <c r="B249" i="38" s="1"/>
  <c r="B266" i="38" s="1"/>
  <c r="B283" i="38" s="1"/>
  <c r="B300" i="38" s="1"/>
  <c r="B317" i="38" s="1"/>
  <c r="B334" i="38" s="1"/>
  <c r="B30" i="38"/>
  <c r="B47" i="38" s="1"/>
  <c r="B64" i="38" s="1"/>
  <c r="B81" i="38" s="1"/>
  <c r="B98" i="38" s="1"/>
  <c r="B115" i="38" s="1"/>
  <c r="B132" i="38" s="1"/>
  <c r="B149" i="38" s="1"/>
  <c r="B166" i="38" s="1"/>
  <c r="B183" i="38" s="1"/>
  <c r="B200" i="38" s="1"/>
  <c r="B217" i="38" s="1"/>
  <c r="B234" i="38" s="1"/>
  <c r="B251" i="38" s="1"/>
  <c r="B268" i="38" s="1"/>
  <c r="B285" i="38" s="1"/>
  <c r="B302" i="38" s="1"/>
  <c r="B319" i="38" s="1"/>
  <c r="B336" i="38" s="1"/>
  <c r="B33" i="38"/>
  <c r="B50" i="38" s="1"/>
  <c r="B67" i="38" s="1"/>
  <c r="B84" i="38" s="1"/>
  <c r="B101" i="38" s="1"/>
  <c r="B118" i="38" s="1"/>
  <c r="B135" i="38" s="1"/>
  <c r="B152" i="38" s="1"/>
  <c r="B169" i="38" s="1"/>
  <c r="B186" i="38" s="1"/>
  <c r="B203" i="38" s="1"/>
  <c r="B220" i="38" s="1"/>
  <c r="B237" i="38" s="1"/>
  <c r="B254" i="38" s="1"/>
  <c r="B271" i="38" s="1"/>
  <c r="B288" i="38" s="1"/>
  <c r="B305" i="38" s="1"/>
  <c r="B322" i="38" s="1"/>
  <c r="B339" i="38" s="1"/>
  <c r="B35" i="38"/>
  <c r="B52" i="38" s="1"/>
  <c r="B69" i="38" s="1"/>
  <c r="B86" i="38" s="1"/>
  <c r="B103" i="38" s="1"/>
  <c r="B120" i="38" s="1"/>
  <c r="B137" i="38" s="1"/>
  <c r="B154" i="38" s="1"/>
  <c r="B171" i="38" s="1"/>
  <c r="B188" i="38" s="1"/>
  <c r="B205" i="38" s="1"/>
  <c r="B222" i="38" s="1"/>
  <c r="B239" i="38" s="1"/>
  <c r="B256" i="38" s="1"/>
  <c r="B273" i="38" s="1"/>
  <c r="B290" i="38" s="1"/>
  <c r="B307" i="38" s="1"/>
  <c r="B324" i="38" s="1"/>
  <c r="B341" i="38" s="1"/>
  <c r="B36" i="38"/>
  <c r="B53" i="38" s="1"/>
  <c r="B70" i="38" s="1"/>
  <c r="B87" i="38" s="1"/>
  <c r="B104" i="38" s="1"/>
  <c r="B121" i="38" s="1"/>
  <c r="B138" i="38" s="1"/>
  <c r="B155" i="38" s="1"/>
  <c r="B172" i="38" s="1"/>
  <c r="B189" i="38" s="1"/>
  <c r="B206" i="38" s="1"/>
  <c r="B223" i="38" s="1"/>
  <c r="B240" i="38" s="1"/>
  <c r="B257" i="38" s="1"/>
  <c r="B274" i="38" s="1"/>
  <c r="B291" i="38" s="1"/>
  <c r="B308" i="38" s="1"/>
  <c r="B325" i="38" s="1"/>
  <c r="B342" i="38" s="1"/>
  <c r="B23" i="38"/>
  <c r="B40" i="38" s="1"/>
  <c r="B57" i="38" s="1"/>
  <c r="B74" i="38" s="1"/>
  <c r="B91" i="38" s="1"/>
  <c r="B108" i="38" s="1"/>
  <c r="B125" i="38" s="1"/>
  <c r="B142" i="38" s="1"/>
  <c r="B159" i="38" s="1"/>
  <c r="B176" i="38" s="1"/>
  <c r="B193" i="38" s="1"/>
  <c r="B210" i="38" s="1"/>
  <c r="B227" i="38" s="1"/>
  <c r="B244" i="38" s="1"/>
  <c r="B261" i="38" s="1"/>
  <c r="B278" i="38" s="1"/>
  <c r="B295" i="38" s="1"/>
  <c r="B312" i="38" s="1"/>
  <c r="B329" i="38" s="1"/>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9" i="38"/>
  <c r="B26" i="38" s="1"/>
  <c r="B43" i="38" s="1"/>
  <c r="B60" i="38" s="1"/>
  <c r="B77" i="38" s="1"/>
  <c r="B94" i="38" s="1"/>
  <c r="B111" i="38" s="1"/>
  <c r="B128" i="38" s="1"/>
  <c r="B145" i="38" s="1"/>
  <c r="B162" i="38" s="1"/>
  <c r="B179" i="38" s="1"/>
  <c r="B196" i="38" s="1"/>
  <c r="B213" i="38" s="1"/>
  <c r="B230" i="38" s="1"/>
  <c r="B247" i="38" s="1"/>
  <c r="B264" i="38" s="1"/>
  <c r="B281" i="38" s="1"/>
  <c r="B298" i="38" s="1"/>
  <c r="B315" i="38" s="1"/>
  <c r="B332" i="38" s="1"/>
  <c r="B10" i="38"/>
  <c r="B11" i="38"/>
  <c r="B12" i="38"/>
  <c r="B29" i="38" s="1"/>
  <c r="B46" i="38" s="1"/>
  <c r="B63" i="38" s="1"/>
  <c r="B80" i="38" s="1"/>
  <c r="B97" i="38" s="1"/>
  <c r="B114" i="38" s="1"/>
  <c r="B131" i="38" s="1"/>
  <c r="B148" i="38" s="1"/>
  <c r="B165" i="38" s="1"/>
  <c r="B182" i="38" s="1"/>
  <c r="B199" i="38" s="1"/>
  <c r="B216" i="38" s="1"/>
  <c r="B233" i="38" s="1"/>
  <c r="B250" i="38" s="1"/>
  <c r="B267" i="38" s="1"/>
  <c r="B284" i="38" s="1"/>
  <c r="B301" i="38" s="1"/>
  <c r="B318" i="38" s="1"/>
  <c r="B335" i="38" s="1"/>
  <c r="B13" i="38"/>
  <c r="B14" i="38"/>
  <c r="B31" i="38" s="1"/>
  <c r="B48" i="38" s="1"/>
  <c r="B65" i="38" s="1"/>
  <c r="B82" i="38" s="1"/>
  <c r="B99" i="38" s="1"/>
  <c r="B116" i="38" s="1"/>
  <c r="B133" i="38" s="1"/>
  <c r="B150" i="38" s="1"/>
  <c r="B167" i="38" s="1"/>
  <c r="B184" i="38" s="1"/>
  <c r="B201" i="38" s="1"/>
  <c r="B218" i="38" s="1"/>
  <c r="B235" i="38" s="1"/>
  <c r="B252" i="38" s="1"/>
  <c r="B269" i="38" s="1"/>
  <c r="B286" i="38" s="1"/>
  <c r="B303" i="38" s="1"/>
  <c r="B320" i="38" s="1"/>
  <c r="B337" i="38" s="1"/>
  <c r="B15" i="38"/>
  <c r="B32" i="38" s="1"/>
  <c r="B49" i="38" s="1"/>
  <c r="B66" i="38" s="1"/>
  <c r="B83" i="38" s="1"/>
  <c r="B100" i="38" s="1"/>
  <c r="B117" i="38" s="1"/>
  <c r="B134" i="38" s="1"/>
  <c r="B151" i="38" s="1"/>
  <c r="B168" i="38" s="1"/>
  <c r="B185" i="38" s="1"/>
  <c r="B202" i="38" s="1"/>
  <c r="B219" i="38" s="1"/>
  <c r="B236" i="38" s="1"/>
  <c r="B253" i="38" s="1"/>
  <c r="B270" i="38" s="1"/>
  <c r="B287" i="38" s="1"/>
  <c r="B304" i="38" s="1"/>
  <c r="B321" i="38" s="1"/>
  <c r="B338" i="38" s="1"/>
  <c r="B16" i="38"/>
  <c r="B17" i="38"/>
  <c r="B34" i="38" s="1"/>
  <c r="B51" i="38" s="1"/>
  <c r="B68" i="38" s="1"/>
  <c r="B85" i="38" s="1"/>
  <c r="B102" i="38" s="1"/>
  <c r="B119" i="38" s="1"/>
  <c r="B136" i="38" s="1"/>
  <c r="B153" i="38" s="1"/>
  <c r="B170" i="38" s="1"/>
  <c r="B187" i="38" s="1"/>
  <c r="B204" i="38" s="1"/>
  <c r="B221" i="38" s="1"/>
  <c r="B238" i="38" s="1"/>
  <c r="B255" i="38" s="1"/>
  <c r="B272" i="38" s="1"/>
  <c r="B289" i="38" s="1"/>
  <c r="B306" i="38" s="1"/>
  <c r="B323" i="38" s="1"/>
  <c r="B340" i="38" s="1"/>
  <c r="B18" i="38"/>
  <c r="B19" i="38"/>
  <c r="B20" i="38"/>
  <c r="B37" i="38" s="1"/>
  <c r="B54" i="38" s="1"/>
  <c r="B71" i="38" s="1"/>
  <c r="B88" i="38" s="1"/>
  <c r="B105" i="38" s="1"/>
  <c r="B122" i="38" s="1"/>
  <c r="B139" i="38" s="1"/>
  <c r="B156" i="38" s="1"/>
  <c r="B173" i="38" s="1"/>
  <c r="B190" i="38" s="1"/>
  <c r="B207" i="38" s="1"/>
  <c r="B224" i="38" s="1"/>
  <c r="B241" i="38" s="1"/>
  <c r="B258" i="38" s="1"/>
  <c r="B275" i="38" s="1"/>
  <c r="B292" i="38" s="1"/>
  <c r="B309" i="38" s="1"/>
  <c r="B326" i="38" s="1"/>
  <c r="B343" i="38" s="1"/>
  <c r="B6" i="38"/>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D42" i="5"/>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D45" i="5"/>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D10" i="36" l="1"/>
  <c r="C46" i="42"/>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D16" i="33" l="1"/>
  <c r="D17" i="33"/>
  <c r="D12" i="33"/>
  <c r="D13" i="33"/>
  <c r="D14" i="33"/>
  <c r="E14" i="33"/>
  <c r="E19" i="33"/>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E17"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4" i="33"/>
  <c r="F19" i="33"/>
  <c r="D18"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E16" i="33"/>
  <c r="T14" i="33"/>
  <c r="V13" i="33"/>
  <c r="F13" i="33"/>
  <c r="I18" i="33"/>
  <c r="S14" i="33"/>
  <c r="T13" i="33"/>
  <c r="G18" i="33"/>
  <c r="Q14" i="33"/>
  <c r="Q13" i="33"/>
  <c r="V16" i="33"/>
  <c r="R17" i="33"/>
  <c r="J17" i="33"/>
  <c r="R14" i="33"/>
  <c r="J14" i="33"/>
  <c r="U13" i="33"/>
  <c r="M13" i="33"/>
  <c r="E13" i="33"/>
  <c r="V18" i="33"/>
  <c r="N18" i="33"/>
  <c r="F18" i="33"/>
  <c r="Q17" i="33"/>
  <c r="I17" i="33"/>
  <c r="T16" i="33"/>
  <c r="L16" i="33"/>
  <c r="W12" i="33"/>
  <c r="O12" i="33"/>
  <c r="G12" i="33"/>
  <c r="U18" i="33"/>
  <c r="M18" i="33"/>
  <c r="E18" i="33"/>
  <c r="P17" i="33"/>
  <c r="H17" i="33"/>
  <c r="S16" i="33"/>
  <c r="K16" i="33"/>
  <c r="S13" i="33"/>
  <c r="K13" i="33"/>
  <c r="V12" i="33"/>
  <c r="N12" i="33"/>
  <c r="F12" i="33"/>
  <c r="T18" i="33"/>
  <c r="L18" i="33"/>
  <c r="W17" i="33"/>
  <c r="O17" i="33"/>
  <c r="G17" i="33"/>
  <c r="R16" i="33"/>
  <c r="J16" i="33"/>
  <c r="W14" i="33"/>
  <c r="O14" i="33"/>
  <c r="G14" i="33"/>
  <c r="R13" i="33"/>
  <c r="J13" i="33"/>
  <c r="U12" i="33"/>
  <c r="M12" i="33"/>
  <c r="E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41" s="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8" i="2"/>
  <c r="B57" i="41" s="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7" i="2"/>
  <c r="B56" i="41" s="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6" i="2"/>
  <c r="B55" i="41" s="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5" i="2"/>
  <c r="B54" i="41" s="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F8" i="19"/>
  <c r="F18" i="19"/>
  <c r="F10" i="19"/>
  <c r="J22" i="18"/>
  <c r="G22" i="18" s="1"/>
  <c r="J14" i="18"/>
  <c r="F17" i="19"/>
  <c r="F9" i="19"/>
  <c r="J21" i="18"/>
  <c r="G21" i="18" s="1"/>
  <c r="J13" i="18"/>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15" i="18"/>
  <c r="G14" i="18"/>
  <c r="G13" i="18"/>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<sst xmlns="http://schemas.openxmlformats.org/spreadsheetml/2006/main" count="7739" uniqueCount="1912">
  <si>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</si>
  <si>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</si>
  <si>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</si>
  <si>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</si>
  <si>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</si>
  <si>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</si>
  <si>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</si>
  <si>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</si>
  <si>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</si>
  <si>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</si>
  <si>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</si>
  <si>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</si>
  <si>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</si>
  <si>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</si>
  <si>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</si>
  <si>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</si>
  <si>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</si>
  <si>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</si>
  <si>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</si>
  <si>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</si>
  <si>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</si>
  <si>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</si>
  <si>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</si>
  <si>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</si>
  <si>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</si>
  <si>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</si>
  <si>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</si>
  <si>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</si>
  <si>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</si>
  <si>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</si>
  <si>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</si>
  <si>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</si>
  <si>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</si>
  <si>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</si>
  <si>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</si>
  <si>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</si>
  <si>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</si>
  <si>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</si>
  <si>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</si>
  <si>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</si>
  <si>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</si>
  <si>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</si>
  <si>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</si>
  <si>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</si>
  <si>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</si>
  <si>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</si>
  <si>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</si>
  <si>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</si>
  <si>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</si>
  <si>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</si>
  <si>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</si>
  <si>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</si>
  <si>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</si>
  <si>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</si>
  <si>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</si>
  <si>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</si>
  <si>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</si>
  <si>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</si>
  <si>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</si>
  <si>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</si>
  <si>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</si>
  <si>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</si>
  <si>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</si>
  <si>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</si>
  <si>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</si>
  <si>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</si>
  <si>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</si>
  <si>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</si>
  <si>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</si>
  <si>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</si>
  <si>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</si>
  <si>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</si>
  <si>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</si>
  <si>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</si>
  <si>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</si>
  <si>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</si>
  <si>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</si>
  <si>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</si>
  <si>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</si>
  <si>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</si>
  <si>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</si>
  <si>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</si>
  <si>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</si>
  <si>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</si>
  <si>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</si>
  <si>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</si>
  <si>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</si>
  <si>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</si>
  <si>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</si>
  <si>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</si>
  <si>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</si>
  <si>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</si>
  <si>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</si>
  <si>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</si>
  <si>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</si>
  <si>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</si>
  <si>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</si>
  <si>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</si>
  <si>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</si>
  <si>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</si>
  <si>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</si>
  <si>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</si>
  <si>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</si>
  <si>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</si>
  <si>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</si>
  <si>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</si>
  <si>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</si>
  <si>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</si>
  <si>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</si>
  <si>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</si>
  <si>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</si>
  <si>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</si>
  <si>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</si>
  <si>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</si>
  <si>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</si>
  <si>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</si>
  <si>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</si>
  <si>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</si>
  <si>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</si>
  <si>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</si>
  <si>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</si>
  <si>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</si>
  <si>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</si>
  <si>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</si>
  <si>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</si>
  <si>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</si>
  <si>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</si>
  <si>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</si>
  <si>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</si>
  <si>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</si>
  <si>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</si>
  <si>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</si>
  <si>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</si>
  <si>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</si>
  <si>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</si>
  <si>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</si>
  <si>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</si>
  <si>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</si>
  <si>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</si>
  <si>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</si>
  <si>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</si>
  <si>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</si>
  <si>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</si>
  <si>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</si>
  <si>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</si>
  <si>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</si>
  <si>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</si>
  <si>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</si>
  <si>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</si>
  <si>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</si>
  <si>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</si>
  <si>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</si>
  <si>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</si>
  <si>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</si>
  <si>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</si>
  <si>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</si>
  <si>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</si>
  <si>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</si>
  <si>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</si>
  <si>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</si>
  <si>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</si>
  <si>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</si>
  <si>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</si>
  <si>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</si>
  <si>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</si>
  <si>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</si>
  <si>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</si>
  <si>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</si>
  <si>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</si>
  <si>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</si>
  <si>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</si>
  <si>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</si>
  <si>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</si>
  <si>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</si>
  <si>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</si>
  <si>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</si>
  <si>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</si>
  <si>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</si>
  <si>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</si>
  <si>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</si>
  <si>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</si>
  <si>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</si>
  <si>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</si>
  <si>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</si>
  <si>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</si>
  <si>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</si>
  <si>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</si>
  <si>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</si>
  <si>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</si>
  <si>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</si>
  <si>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</si>
  <si>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</si>
  <si>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</si>
  <si>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</si>
  <si>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</si>
  <si>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</si>
  <si>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</si>
  <si>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</si>
  <si>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</si>
  <si>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</si>
  <si>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</si>
  <si>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</si>
  <si>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</si>
  <si>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</si>
  <si>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</si>
  <si>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</si>
  <si>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</si>
  <si>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</si>
  <si>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</si>
  <si>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</si>
  <si>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</si>
  <si>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</si>
  <si>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</si>
  <si>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</si>
  <si>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</si>
  <si>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</si>
  <si>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</si>
  <si>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</si>
  <si>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</si>
  <si>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</si>
  <si>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</si>
  <si>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</si>
  <si>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</si>
  <si>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</si>
  <si>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</si>
  <si>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</si>
  <si>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</si>
  <si>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</si>
  <si>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</si>
  <si>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</si>
  <si>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</si>
  <si>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</si>
  <si>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</si>
  <si>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</si>
  <si>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</si>
  <si>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</si>
  <si>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</si>
  <si>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</si>
  <si>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</si>
  <si>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</si>
  <si>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</si>
  <si>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</si>
  <si>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</si>
  <si>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</si>
  <si>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</si>
  <si>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</si>
  <si>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</si>
  <si>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</si>
  <si>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</si>
  <si>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</si>
  <si>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</si>
  <si>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</si>
  <si>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</si>
  <si>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</si>
  <si>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</si>
  <si>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</si>
  <si>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</si>
  <si>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</si>
  <si>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</si>
  <si>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</si>
  <si>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</si>
  <si>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</si>
  <si>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</si>
  <si>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</si>
  <si>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</si>
  <si>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</si>
  <si>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</si>
  <si>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</si>
  <si>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</si>
  <si>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</si>
  <si>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</si>
  <si>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</si>
  <si>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</si>
  <si>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</si>
  <si>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</si>
  <si>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</si>
  <si>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</si>
  <si>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</si>
  <si>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</si>
  <si>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</si>
  <si>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</si>
  <si>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</si>
  <si>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</si>
  <si>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</si>
  <si>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</si>
  <si>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</si>
  <si>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</si>
  <si>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</si>
  <si>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</si>
  <si>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</si>
  <si>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</si>
  <si>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</si>
  <si>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</si>
  <si>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</si>
  <si>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</si>
  <si>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</si>
  <si>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</si>
  <si>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</si>
  <si>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</si>
  <si>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</si>
  <si>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</si>
  <si>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</si>
  <si>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</si>
  <si>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</si>
  <si>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</si>
  <si>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</si>
  <si>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</si>
  <si>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</si>
  <si>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</si>
  <si>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</si>
  <si>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</si>
  <si>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</si>
  <si>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</si>
  <si>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</si>
  <si>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</si>
  <si>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</si>
  <si>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</si>
  <si>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</si>
  <si>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</si>
  <si>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</si>
  <si>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</si>
  <si>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</si>
  <si>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</si>
  <si>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</si>
  <si>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</si>
  <si>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</si>
  <si>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</si>
  <si>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</si>
  <si>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</si>
  <si>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</si>
  <si>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</si>
  <si>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</si>
  <si>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</si>
  <si>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</si>
  <si>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</si>
  <si>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</si>
  <si>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</si>
  <si>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</si>
  <si>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</si>
  <si>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</si>
  <si>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</si>
  <si>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</si>
  <si>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</si>
  <si>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</si>
  <si>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</si>
  <si>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</si>
  <si>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</si>
  <si>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</si>
  <si>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</si>
  <si>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</si>
  <si>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</si>
  <si>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</si>
  <si>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</si>
  <si>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</si>
  <si>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</si>
  <si>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</si>
  <si>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</si>
  <si>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</si>
  <si>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</si>
  <si>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</si>
  <si>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</si>
  <si>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</si>
  <si>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</si>
  <si>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</si>
  <si>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</si>
  <si>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</si>
  <si>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</si>
  <si>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</si>
  <si>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</si>
  <si>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</si>
  <si>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</si>
  <si>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</si>
  <si>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</si>
  <si>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</si>
  <si>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</si>
  <si>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</si>
  <si>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</si>
  <si>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</si>
  <si>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</si>
  <si>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</si>
  <si>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</si>
  <si>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</si>
  <si>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</si>
  <si>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</si>
  <si>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</si>
  <si>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</si>
  <si>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</si>
  <si>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</si>
  <si>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</si>
  <si>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</si>
  <si>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</si>
  <si>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</si>
  <si>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</si>
  <si>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</si>
  <si>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</si>
  <si>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</si>
  <si>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</si>
  <si>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</si>
  <si>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</si>
  <si>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</si>
  <si>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</si>
  <si>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</si>
  <si>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</si>
  <si>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</si>
  <si>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</si>
  <si>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</si>
  <si>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</si>
  <si>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</si>
  <si>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</si>
  <si>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</si>
  <si>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</si>
  <si>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</si>
  <si>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</si>
  <si>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</si>
  <si>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</si>
  <si>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</si>
  <si>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</si>
  <si>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</si>
  <si>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</si>
  <si>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</si>
  <si>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</si>
  <si>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</si>
  <si>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</si>
  <si>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</si>
  <si>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</si>
  <si>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</si>
  <si>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</si>
  <si>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</si>
  <si>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</si>
  <si>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</si>
  <si>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</si>
  <si>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</si>
  <si>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</si>
  <si>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</si>
  <si>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</si>
  <si>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</si>
  <si>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</si>
  <si>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</si>
  <si>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</si>
  <si>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</si>
  <si>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</si>
  <si>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</si>
  <si>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</si>
  <si>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</si>
  <si>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</si>
  <si>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</si>
  <si>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</si>
  <si>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</si>
  <si>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</si>
  <si>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</si>
  <si>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</si>
  <si>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</si>
  <si>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</si>
  <si>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</si>
  <si>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</si>
  <si>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</si>
  <si>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</si>
  <si>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</si>
  <si>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</si>
  <si>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</si>
  <si>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</si>
  <si>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</si>
  <si>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</si>
  <si>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</si>
  <si>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</si>
  <si>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</si>
  <si>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</si>
  <si>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</si>
  <si>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</si>
  <si>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</si>
  <si>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</si>
  <si>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</si>
  <si>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</si>
  <si>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</si>
  <si>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</si>
  <si>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</si>
  <si>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</si>
  <si>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</si>
  <si>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</si>
  <si>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</si>
  <si>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</si>
  <si>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</si>
  <si>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</si>
  <si>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</si>
  <si>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</si>
  <si>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</si>
  <si>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</si>
  <si>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</si>
  <si>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</si>
  <si>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</si>
  <si>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</si>
  <si>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</si>
  <si>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</si>
  <si>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</si>
  <si>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</si>
  <si>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</si>
  <si>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</si>
  <si>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</si>
  <si>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</si>
  <si>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</si>
  <si>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</si>
  <si>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</si>
  <si>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</si>
  <si>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</si>
  <si>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</si>
  <si>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</si>
  <si>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</si>
  <si>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</si>
  <si>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</si>
  <si>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</si>
  <si>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</si>
  <si>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</si>
  <si>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</si>
  <si>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</si>
  <si>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</si>
  <si>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</si>
  <si>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</si>
  <si>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</si>
  <si>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</si>
  <si>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</si>
  <si>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</si>
  <si>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</si>
  <si>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</si>
  <si>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</si>
  <si>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</si>
  <si>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</si>
  <si>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</si>
  <si>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</si>
  <si>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</si>
  <si>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</si>
  <si>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</si>
  <si>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</si>
  <si>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</si>
  <si>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</si>
  <si>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</si>
  <si>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</si>
  <si>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</si>
  <si>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</si>
  <si>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</si>
  <si>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</si>
  <si>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</si>
  <si>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</si>
  <si>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</si>
  <si>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</si>
  <si>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</si>
  <si>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</si>
  <si>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</si>
  <si>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</si>
  <si>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</si>
  <si>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</si>
  <si>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</si>
  <si>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</si>
  <si>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</si>
  <si>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</si>
  <si>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</si>
  <si>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</si>
  <si>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</si>
  <si>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</si>
  <si>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</si>
  <si>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</si>
  <si>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</si>
  <si>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</si>
  <si>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</si>
  <si>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</si>
  <si>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</si>
  <si>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</si>
  <si>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</si>
  <si>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</si>
  <si>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</si>
  <si>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</si>
  <si>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</si>
  <si>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</si>
  <si>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</si>
  <si>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</si>
  <si>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</si>
  <si>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</si>
  <si>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</si>
  <si>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</si>
  <si>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</si>
  <si>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</si>
  <si>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</si>
  <si>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</si>
  <si>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</si>
  <si>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</si>
  <si>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</si>
  <si>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</si>
  <si>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</si>
  <si>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</si>
  <si>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</si>
  <si>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</si>
  <si>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</si>
  <si>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</si>
  <si>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</si>
  <si>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</si>
  <si>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</si>
  <si>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</si>
  <si>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</si>
  <si>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</si>
  <si>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</si>
  <si>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</si>
  <si>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</si>
  <si>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</si>
  <si>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</si>
  <si>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</si>
  <si>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</si>
  <si>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</si>
  <si>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</si>
  <si>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</si>
  <si>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</si>
  <si>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</si>
  <si>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</si>
  <si>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</si>
  <si>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</si>
  <si>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</si>
  <si>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</si>
  <si>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</si>
  <si>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</si>
  <si>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</si>
  <si>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</si>
  <si>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</si>
  <si>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</si>
  <si>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</si>
  <si>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</si>
  <si>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</si>
  <si>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</si>
  <si>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</si>
  <si>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</si>
  <si>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</si>
  <si>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</si>
  <si>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</si>
  <si>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</si>
  <si>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</si>
  <si>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</si>
  <si>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</si>
  <si>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</si>
  <si>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</si>
  <si>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</si>
  <si>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</si>
  <si>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</si>
  <si>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</si>
  <si>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</si>
  <si>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</si>
  <si>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</si>
  <si>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</si>
  <si>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</si>
  <si>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</si>
  <si>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</si>
  <si>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</si>
  <si>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</si>
  <si>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</si>
  <si>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</si>
  <si>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</si>
  <si>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</si>
  <si>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</si>
  <si>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</si>
  <si>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</si>
  <si>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</si>
  <si>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</si>
  <si>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</si>
  <si>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</si>
  <si>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</si>
  <si>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</si>
  <si>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</si>
  <si>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</si>
  <si>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</si>
  <si>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</si>
  <si>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</si>
  <si>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</si>
  <si>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</si>
  <si>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</si>
  <si>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</si>
  <si>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</si>
  <si>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</si>
  <si>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</si>
  <si>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</si>
  <si>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</si>
  <si>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</si>
  <si>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</si>
  <si>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</si>
  <si>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</si>
  <si>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</si>
  <si>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</si>
  <si>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</si>
  <si>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</si>
  <si>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</si>
  <si>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</si>
  <si>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</si>
  <si>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</si>
  <si>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</si>
  <si>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</si>
  <si>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</si>
  <si>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</si>
  <si>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</si>
  <si>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</si>
  <si>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</si>
  <si>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</si>
  <si>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</si>
  <si>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</si>
  <si>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</si>
  <si>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</si>
  <si>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</si>
  <si>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</si>
  <si>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</si>
  <si>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</si>
  <si>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</si>
  <si>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</si>
  <si>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</si>
  <si>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</si>
  <si>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</si>
  <si>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</si>
  <si>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</si>
  <si>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</si>
  <si>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</si>
  <si>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</si>
  <si>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</si>
  <si>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</si>
  <si>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</si>
  <si>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</si>
  <si>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</si>
  <si>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</si>
  <si>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</si>
  <si>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</si>
  <si>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</si>
  <si>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</si>
  <si>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</si>
  <si>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</si>
  <si>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</si>
  <si>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</si>
  <si>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</si>
  <si>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</si>
  <si>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</si>
  <si>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</si>
  <si>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</si>
  <si>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</si>
  <si>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</si>
  <si>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</si>
  <si>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</si>
  <si>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</si>
  <si>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</si>
  <si>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</si>
  <si>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</si>
  <si>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</si>
  <si>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</si>
  <si>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</si>
  <si>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</si>
  <si>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</si>
  <si>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</si>
  <si>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</si>
  <si>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</si>
  <si>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</si>
  <si>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</si>
  <si>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</si>
  <si>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</si>
  <si>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</si>
  <si>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</si>
  <si>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</si>
  <si>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</si>
  <si>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</si>
  <si>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</si>
  <si>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</si>
  <si>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</si>
  <si>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</si>
  <si>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</si>
  <si>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</si>
  <si>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</si>
  <si>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</si>
  <si>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</si>
  <si>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</si>
  <si>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</si>
  <si>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</si>
  <si>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</si>
  <si>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</si>
  <si>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</si>
  <si>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</si>
  <si>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</si>
  <si>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</si>
  <si>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</si>
  <si>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</si>
  <si>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</si>
  <si>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</si>
  <si>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</si>
  <si>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</si>
  <si>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</si>
  <si>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</si>
  <si>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</si>
  <si>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</si>
  <si>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</si>
  <si>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</si>
  <si>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</si>
  <si>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</si>
  <si>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</si>
  <si>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</si>
  <si>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</si>
  <si>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</si>
  <si>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</si>
  <si>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</si>
  <si>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</si>
  <si>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</si>
  <si>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</si>
  <si>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</si>
  <si>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</si>
  <si>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</si>
  <si>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</si>
  <si>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</si>
  <si>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</si>
  <si>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</si>
  <si>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</si>
  <si>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</si>
  <si>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</si>
  <si>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</si>
  <si>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</si>
  <si>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</si>
  <si>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</si>
  <si>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</si>
  <si>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</si>
  <si>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</si>
  <si>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</si>
  <si>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</si>
  <si>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</si>
  <si>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</si>
  <si>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</si>
  <si>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</si>
  <si>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</si>
  <si>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</si>
  <si>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</si>
  <si>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</si>
  <si>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</si>
  <si>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</si>
  <si>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</si>
  <si>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</si>
  <si>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</si>
  <si>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</si>
  <si>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</si>
  <si>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</si>
  <si>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</si>
  <si>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</si>
  <si>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</si>
  <si>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</si>
  <si>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</si>
  <si>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</si>
  <si>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</si>
  <si>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</si>
  <si>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</si>
  <si>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</si>
  <si>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</si>
  <si>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</si>
  <si>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</si>
  <si>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</si>
  <si>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</si>
  <si>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</si>
  <si>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</si>
  <si>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</si>
  <si>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</si>
  <si>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</si>
  <si>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</si>
  <si>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</si>
  <si>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</si>
  <si>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</si>
  <si>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</si>
  <si>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</si>
  <si>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</si>
  <si>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</si>
  <si>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</si>
  <si>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</si>
  <si>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</si>
  <si>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</si>
  <si>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</si>
  <si>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</si>
  <si>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</si>
  <si>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</si>
  <si>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</si>
  <si>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</si>
  <si>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</si>
  <si>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</si>
  <si>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</si>
  <si>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</si>
  <si>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</si>
  <si>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</si>
  <si>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</si>
  <si>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</si>
  <si>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</si>
  <si>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</si>
  <si>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</si>
  <si>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</si>
  <si>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</si>
  <si>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</si>
  <si>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</si>
  <si>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</si>
  <si>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</si>
  <si>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</si>
  <si>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</si>
  <si>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</si>
  <si>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</si>
  <si>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</si>
  <si>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</si>
  <si>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</si>
  <si>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</si>
  <si>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</si>
  <si>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</si>
  <si>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</si>
  <si>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</si>
  <si>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</si>
  <si>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</si>
  <si>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</si>
  <si>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</si>
  <si>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</si>
  <si>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</si>
  <si>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</si>
  <si>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</si>
  <si>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</si>
  <si>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</si>
  <si>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</si>
  <si>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</si>
  <si>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</si>
  <si>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</si>
  <si>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</si>
  <si>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</si>
  <si>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</si>
  <si>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</si>
  <si>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</si>
  <si>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</si>
  <si>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</si>
  <si>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</si>
  <si>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</si>
  <si>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</si>
  <si>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</si>
  <si>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</si>
  <si>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</si>
  <si>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</si>
  <si>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</si>
  <si>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</si>
  <si>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</si>
  <si>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</si>
  <si>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</si>
  <si>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</si>
  <si>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</si>
  <si>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</si>
  <si>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</si>
  <si>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</si>
  <si>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</si>
  <si>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</si>
  <si>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</si>
  <si>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</si>
  <si>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</si>
  <si>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</si>
  <si>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</si>
  <si>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</si>
  <si>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</si>
  <si>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</si>
  <si>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</si>
  <si>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</si>
  <si>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</si>
  <si>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</si>
  <si>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</si>
  <si>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</si>
  <si>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</si>
  <si>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</si>
  <si>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</si>
  <si>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</si>
  <si>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</si>
  <si>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</si>
  <si>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</si>
  <si>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</si>
  <si>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</si>
  <si>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</si>
  <si>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</si>
  <si>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</si>
  <si>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</si>
  <si>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</si>
  <si>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</si>
  <si>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</si>
  <si>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</si>
  <si>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</si>
  <si>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</si>
  <si>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</si>
  <si>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</si>
  <si>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</si>
  <si>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</si>
  <si>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</si>
  <si>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</si>
  <si>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</si>
  <si>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</si>
  <si>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</si>
  <si>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</si>
  <si>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</si>
  <si>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</si>
  <si>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</si>
  <si>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</si>
  <si>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</si>
  <si>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</si>
  <si>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</si>
  <si>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</si>
  <si>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</si>
  <si>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</si>
  <si>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</si>
  <si>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</si>
  <si>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</si>
  <si>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</si>
  <si>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</si>
  <si>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</si>
  <si>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</si>
  <si>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</si>
  <si>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</si>
  <si>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</si>
  <si>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</si>
  <si>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</si>
  <si>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</si>
  <si>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</si>
  <si>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</si>
  <si>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</si>
  <si>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</si>
  <si>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</si>
  <si>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</si>
  <si>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</si>
  <si>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</si>
  <si>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</si>
  <si>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</si>
  <si>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</si>
  <si>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</si>
  <si>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</si>
  <si>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</si>
  <si>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</si>
  <si>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</si>
  <si>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</si>
  <si>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</si>
  <si>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</si>
  <si>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</si>
  <si>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</si>
  <si>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</si>
  <si>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</si>
  <si>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</si>
  <si>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</si>
  <si>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</si>
  <si>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</si>
  <si>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</si>
  <si>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</si>
  <si>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</si>
  <si>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</si>
  <si>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</si>
  <si>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</si>
  <si>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</si>
  <si>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</si>
  <si>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</si>
  <si>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</si>
  <si>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</si>
  <si>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</si>
  <si>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</si>
  <si>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</si>
  <si>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</si>
  <si>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</si>
  <si>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</si>
  <si>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</si>
  <si>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</si>
  <si>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</si>
  <si>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</si>
  <si>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</si>
  <si>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</si>
  <si>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</si>
  <si>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</si>
  <si>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</si>
  <si>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</si>
  <si>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</si>
  <si>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</si>
  <si>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</si>
  <si>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</si>
  <si>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</si>
  <si>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</si>
  <si>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</si>
  <si>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</si>
  <si>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</si>
  <si>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</si>
  <si>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</si>
  <si>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</si>
  <si>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</si>
  <si>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</si>
  <si>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</si>
  <si>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</si>
  <si>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</si>
  <si>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</si>
  <si>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</si>
  <si>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</si>
  <si>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</si>
  <si>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</si>
  <si>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</si>
  <si>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</si>
  <si>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</si>
  <si>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</si>
  <si>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</si>
  <si>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</si>
  <si>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</si>
  <si>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</si>
  <si>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</si>
  <si>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</si>
  <si>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</si>
  <si>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</si>
  <si>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</si>
  <si>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</si>
  <si>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</si>
  <si>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</si>
  <si>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</si>
  <si>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</si>
  <si>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</si>
  <si>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</si>
  <si>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</si>
  <si>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</si>
  <si>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</si>
  <si>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</si>
  <si>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</si>
  <si>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</si>
  <si>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</si>
  <si>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</si>
  <si>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</si>
  <si>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</si>
  <si>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</si>
  <si>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</si>
  <si>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</si>
  <si>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</si>
  <si>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</si>
  <si>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</si>
  <si>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</si>
  <si>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</si>
  <si>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</si>
  <si>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</si>
  <si>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</si>
  <si>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</si>
  <si>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</si>
  <si>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</si>
  <si>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</si>
  <si>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</si>
  <si>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</si>
  <si>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</si>
  <si>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</si>
  <si>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</si>
  <si>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</si>
  <si>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</si>
  <si>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</si>
  <si>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</si>
  <si>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</si>
  <si>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</si>
  <si>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</si>
  <si>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</si>
  <si>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</si>
  <si>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</si>
  <si>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</si>
  <si>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</si>
  <si>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</si>
  <si>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</si>
  <si>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</si>
  <si>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</si>
  <si>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</si>
  <si>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</si>
  <si>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</si>
  <si>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</si>
  <si>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</si>
  <si>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</si>
  <si>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</si>
  <si>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</si>
  <si>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</si>
  <si>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</si>
  <si>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</si>
  <si>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</si>
  <si>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</si>
  <si>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</si>
  <si>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</si>
  <si>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</si>
  <si>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</si>
  <si>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</si>
  <si>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</si>
  <si>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</si>
  <si>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</si>
  <si>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</si>
  <si>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</si>
  <si>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</si>
  <si>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</si>
  <si>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</si>
  <si>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</si>
  <si>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</si>
  <si>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</si>
  <si>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</si>
  <si>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</si>
  <si>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</si>
  <si>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</si>
  <si>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</si>
  <si>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</si>
  <si>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</si>
  <si>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</si>
  <si>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</si>
  <si>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</si>
  <si>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</si>
  <si>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</si>
  <si>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</si>
  <si>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</si>
  <si>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</si>
  <si>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</si>
  <si>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</si>
  <si>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</si>
  <si>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</si>
  <si>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</si>
  <si>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</si>
  <si>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</si>
  <si>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</si>
  <si>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</si>
  <si>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</si>
  <si>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</si>
  <si>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</si>
  <si>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</si>
  <si>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</si>
  <si>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</si>
  <si>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</si>
  <si>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</si>
  <si>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</si>
  <si>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</si>
  <si>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</si>
  <si>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</si>
  <si>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</si>
  <si>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</si>
  <si>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</si>
  <si>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</si>
  <si>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</si>
  <si>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</si>
  <si>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</si>
  <si>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</si>
  <si>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</si>
  <si>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</si>
  <si>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</si>
  <si>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</si>
  <si>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</si>
  <si>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</si>
  <si>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</si>
  <si>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</si>
  <si>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</si>
  <si>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</si>
  <si>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</si>
  <si>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</si>
  <si>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</si>
  <si>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</si>
  <si>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</si>
  <si>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</si>
  <si>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</si>
  <si>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</si>
  <si>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</si>
  <si>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</si>
  <si>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</si>
  <si>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</si>
  <si>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</si>
  <si>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</si>
  <si>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</si>
  <si>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</si>
  <si>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</si>
  <si>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</si>
  <si>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</si>
  <si>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</si>
  <si>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</si>
  <si>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</si>
  <si>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</si>
  <si>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</si>
  <si>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</si>
  <si>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</si>
  <si>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</si>
  <si>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</si>
  <si>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</si>
  <si>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</si>
  <si>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</si>
  <si>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</si>
  <si>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</si>
  <si>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</si>
  <si>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</si>
  <si>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</si>
  <si>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</si>
  <si>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</si>
  <si>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</si>
  <si>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</si>
  <si>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</si>
  <si>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</si>
  <si>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</si>
  <si>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</si>
  <si>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</si>
  <si>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</si>
  <si>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</si>
  <si>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</si>
  <si>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</si>
  <si>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</si>
  <si>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</si>
  <si>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</si>
  <si>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</si>
  <si>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</si>
  <si>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</si>
  <si>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</si>
  <si>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</si>
  <si>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</si>
  <si>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</si>
  <si>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</si>
  <si>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</si>
  <si>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</si>
  <si>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</si>
  <si>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</si>
  <si>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</si>
  <si>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</si>
  <si>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</si>
  <si>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</si>
  <si>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</si>
  <si>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</si>
  <si>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</si>
  <si>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</si>
  <si>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</si>
  <si>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</si>
  <si>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</si>
  <si>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</si>
  <si>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</si>
  <si>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</si>
  <si>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</si>
  <si>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</si>
  <si>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</si>
  <si>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</si>
  <si>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</si>
  <si>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</si>
  <si>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</si>
  <si>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</si>
  <si>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</si>
  <si>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</si>
  <si>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</si>
  <si>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</si>
  <si>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</si>
  <si>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</si>
  <si>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</si>
  <si>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</si>
  <si>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</si>
  <si>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</si>
  <si>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</si>
  <si>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</si>
  <si>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</si>
  <si>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</si>
  <si>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</si>
  <si>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</si>
  <si>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</si>
  <si>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</si>
  <si>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</si>
  <si>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</si>
  <si>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</si>
  <si>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</si>
  <si>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</si>
  <si>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</si>
  <si>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</si>
  <si>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</si>
  <si>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</si>
  <si>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</si>
  <si>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</si>
  <si>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</si>
  <si>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</si>
  <si>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</si>
  <si>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</si>
  <si>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</si>
  <si>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</si>
  <si>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</si>
  <si>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</si>
  <si>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</si>
  <si>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</si>
  <si>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</si>
  <si>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</si>
  <si>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</si>
  <si>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</si>
  <si>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</si>
  <si>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</si>
  <si>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</si>
  <si>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</si>
  <si>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</si>
  <si>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</si>
  <si>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</si>
  <si>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</si>
  <si>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</si>
  <si>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</si>
  <si>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</si>
  <si>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</si>
  <si>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</si>
  <si>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</si>
  <si>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</si>
  <si>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</si>
  <si>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</si>
  <si>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</si>
  <si>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</si>
  <si>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</si>
  <si>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</si>
  <si>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</si>
  <si>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</si>
  <si>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</si>
  <si>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</si>
  <si>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</si>
  <si>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</si>
  <si>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</si>
  <si>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</si>
  <si>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</si>
  <si>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</si>
  <si>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</si>
  <si>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</si>
  <si>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</si>
  <si>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</si>
  <si>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</si>
  <si>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</si>
  <si>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</si>
  <si>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</si>
  <si>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</si>
  <si>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</si>
  <si>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</si>
  <si>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</si>
  <si>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</si>
  <si>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</si>
  <si>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</si>
  <si>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</si>
  <si>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</si>
  <si>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</si>
  <si>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</si>
  <si>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</si>
  <si>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</si>
  <si>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</si>
  <si>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</si>
  <si>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</si>
  <si>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</si>
  <si>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</si>
  <si>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</si>
  <si>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</si>
  <si>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</si>
  <si>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</si>
  <si>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</si>
  <si>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</si>
  <si>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</si>
  <si>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</si>
  <si>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</si>
  <si>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</si>
  <si>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</si>
  <si>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</si>
  <si>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</si>
  <si>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</si>
  <si>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</si>
  <si>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</si>
  <si>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</si>
  <si>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</si>
  <si>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</si>
  <si>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</si>
  <si>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</si>
  <si>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</si>
  <si>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</si>
  <si>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</si>
  <si>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</si>
  <si>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</si>
  <si>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</si>
  <si>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</si>
  <si>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</si>
  <si>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</si>
  <si>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</si>
  <si>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</si>
  <si>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</si>
  <si>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</si>
  <si>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</si>
  <si>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</si>
  <si>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</si>
  <si>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</si>
  <si>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</si>
  <si>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</si>
  <si>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</si>
  <si>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</si>
  <si>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</si>
  <si>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</si>
  <si>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</si>
  <si>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</si>
  <si>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</si>
  <si>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</si>
  <si>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</si>
  <si>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</si>
  <si>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</si>
  <si>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</si>
  <si>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</si>
  <si>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</si>
  <si>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</si>
  <si>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</si>
  <si>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</si>
  <si>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</si>
  <si>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</si>
  <si>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</si>
  <si>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</si>
  <si>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</si>
  <si>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</si>
  <si>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</si>
  <si>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</si>
  <si>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</si>
  <si>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</si>
  <si>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</si>
  <si>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</si>
  <si>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</si>
  <si>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</si>
  <si>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</si>
  <si>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</si>
  <si>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</si>
  <si>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</si>
  <si>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</si>
  <si>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</si>
  <si>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</si>
  <si>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</si>
  <si>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</si>
  <si>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</si>
  <si>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</si>
  <si>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</si>
  <si>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</si>
  <si>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</si>
  <si>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</si>
  <si>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</si>
  <si>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</si>
  <si>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</si>
  <si>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</si>
  <si>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</si>
  <si>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</si>
  <si>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</si>
  <si>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</si>
  <si>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</si>
  <si>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</si>
  <si>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</si>
  <si>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</si>
  <si>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</si>
  <si>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</si>
  <si>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</si>
  <si>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</si>
  <si>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</si>
  <si>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</si>
  <si>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</si>
  <si>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</si>
  <si>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</si>
  <si>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</si>
  <si>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</si>
  <si>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</si>
  <si>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</si>
  <si>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</si>
  <si>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</si>
  <si>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</si>
  <si>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</si>
  <si>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</si>
  <si>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</si>
  <si>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</si>
  <si>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</si>
  <si>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</si>
  <si>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</si>
  <si>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</si>
  <si>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</si>
  <si>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</si>
  <si>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</si>
  <si>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</si>
  <si>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</si>
  <si>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</si>
  <si>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</si>
  <si>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</si>
  <si>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</si>
  <si>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</si>
  <si>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</si>
  <si>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</si>
  <si>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</si>
  <si>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</si>
  <si>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</si>
  <si>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</si>
  <si>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</si>
  <si>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</si>
  <si>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</si>
  <si>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</si>
  <si>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</si>
  <si>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</si>
  <si>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</si>
  <si>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</si>
  <si>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</si>
  <si>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</si>
  <si>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</si>
  <si>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</si>
  <si>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</si>
  <si>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</si>
  <si>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</si>
  <si>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</si>
  <si>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</si>
  <si>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</si>
  <si>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</si>
  <si>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</si>
  <si>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</si>
  <si>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</si>
  <si>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</si>
  <si>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</si>
  <si>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</si>
  <si>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</si>
  <si>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</si>
  <si>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</si>
  <si>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</si>
  <si>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</si>
  <si>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</si>
  <si>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</si>
  <si>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</si>
  <si>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</si>
  <si>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</si>
  <si>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</si>
  <si>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</si>
  <si>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</si>
  <si>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</si>
  <si>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</si>
  <si>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</si>
  <si>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</si>
  <si>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</si>
  <si>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</si>
  <si>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</si>
  <si>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</si>
  <si>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</si>
  <si>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</si>
  <si>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</si>
  <si>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</si>
  <si>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</si>
  <si>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</si>
  <si>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</si>
  <si>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</si>
  <si>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</si>
  <si>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</si>
  <si>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</si>
  <si>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</si>
  <si>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</si>
  <si>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</si>
  <si>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</si>
  <si>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</si>
  <si>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</si>
  <si>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</si>
  <si>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</si>
  <si>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</si>
  <si>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</si>
  <si>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</si>
  <si>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</si>
  <si>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</si>
  <si>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</si>
  <si>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</si>
  <si>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</si>
  <si>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</si>
  <si>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</si>
  <si>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</si>
  <si>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</si>
  <si>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</si>
  <si>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</si>
  <si>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</si>
  <si>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</si>
  <si>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</si>
  <si>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</si>
  <si>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</si>
  <si>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</si>
  <si>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</si>
  <si>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</si>
  <si>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</si>
  <si>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</si>
  <si>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</si>
  <si>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</si>
  <si>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</si>
  <si>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</si>
  <si>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</si>
  <si>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</si>
  <si>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</si>
  <si>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</si>
  <si>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</si>
  <si>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</si>
  <si>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</si>
  <si>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</si>
  <si>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</si>
  <si>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</si>
  <si>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</si>
  <si>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</si>
  <si>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</si>
  <si>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</si>
  <si>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</si>
  <si>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</si>
  <si>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</si>
  <si>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</si>
  <si>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</si>
  <si>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</si>
  <si>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</si>
  <si>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</si>
  <si>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</si>
  <si>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</si>
  <si>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</si>
  <si>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</si>
  <si>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</si>
  <si>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</si>
  <si>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</si>
  <si>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</si>
  <si>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</si>
  <si>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</si>
  <si>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</si>
  <si>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</si>
  <si>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</si>
  <si>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</si>
  <si>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</si>
  <si>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</si>
  <si>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</si>
  <si>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</si>
  <si>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</si>
  <si>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</si>
  <si>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</si>
  <si>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</si>
  <si>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</si>
  <si>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</si>
  <si>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</si>
  <si>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</si>
  <si>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</si>
  <si>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</si>
  <si>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</si>
  <si>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</si>
  <si>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</si>
  <si>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</si>
  <si>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</si>
  <si>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</si>
  <si>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</si>
  <si>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</si>
  <si>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</si>
  <si>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</si>
  <si>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</si>
  <si>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</si>
  <si>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 xml:space="preserve">TRAKŲ KRAŠTO VIETOS VEIKOS GRUPĖ </t>
  </si>
  <si>
    <t>TRAK</t>
  </si>
  <si>
    <t>Įvairialypė tautinė gyventojų sudėtis ir istoriškai susiformavusi tolerancija, didelis renginių skaičius, daug kultūros paveldo objektų.</t>
  </si>
  <si>
    <t>Mažai įmonių naudoja antrines žaliavas. Neišplėtota kooperacija tarp įvairių ūkio subjektų.</t>
  </si>
  <si>
    <t>Demografinė padėtis lemia socialines ir ekonomines problemas, gyventojų socialinio aprūpinimo bei sveikatos priežiūros poreikį.</t>
  </si>
  <si>
    <t>Nepakankamas gyventojų informacinių technologijų,  ekonominio raštingumo lygis.</t>
  </si>
  <si>
    <t>Didėja rankų darbo ir autorinių gaminių paklausa, besiplečiantis amatininkų ratas.</t>
  </si>
  <si>
    <t>Patogi geografinė vieta, išskirtinis  kraštovaizdis ir savita istorija.</t>
  </si>
  <si>
    <t>Kylantis susidomėjimas sveika gyvensena, didėjanti  ekologiškų maisto produktų paklausa.</t>
  </si>
  <si>
    <t>Savivaldybės dėmesys Žaliajai strategijai.</t>
  </si>
  <si>
    <t>Jaunų šeimų kūrimasis kaimiškosiose teritorijose.</t>
  </si>
  <si>
    <t>Trūksta socialinių paslaugų, vaikų priežiūros, visų amžiaus grupių užimtumo.</t>
  </si>
  <si>
    <t>Trūksta sutvarkytų, modernizuotų  ir kitų  viešųjų erdvių laisvalaikiui, sveikatinimui, ypač vaikams.</t>
  </si>
  <si>
    <t>Silpnėjantis NVO, tarp jų bendruomenių ir jaunimo,  aktyvumas,  trūksta lyderių.</t>
  </si>
  <si>
    <t>Aplinkosauginis švietimas, antrinių žaliavų surinkimas siekiant efektyvaus atliekų rūšiavimo ir gamtinės aplinkos tausojimo.</t>
  </si>
  <si>
    <t>Platesnis atsinaujinančių energijos išteklių, biokuro ir biodegalų naudojimas, taršos mažinimas.</t>
  </si>
  <si>
    <t>Informacinių, komunikacinių technologijų naudojimas teikiant paslaugas</t>
  </si>
  <si>
    <t>Ūkių modernizavimas bendrdarbiaujant, tiesioginių ryšių tarp vartotojų ir gamintojų kūrimas</t>
  </si>
  <si>
    <t>Kaimo gyventojų, ypač jaunimo, siacialinės atskirties, itraukimas į bendras veiklas, švietimas.</t>
  </si>
  <si>
    <t>Esamos darbo jėgos kvalifikacijos neatitikimas augančiam technologijų lygiui</t>
  </si>
  <si>
    <t>Nuosavų lėšų ir žmogiškųjų kompetencijų trūkumas, norint sėkmingai įgyvendinti iniciatyvas</t>
  </si>
  <si>
    <t>Nepalanki valstybės mokesčių politika neskatins kurti darbo vietų ir plėtoti verslo.</t>
  </si>
  <si>
    <t xml:space="preserve">Nestabili/nepalanki geopolitinė situacija pasaulyje </t>
  </si>
  <si>
    <t xml:space="preserve">Vilniaus miesto artumas </t>
  </si>
  <si>
    <t>Pritaikyti  kraštovaizdį,  kultūros ir gamtos paveldą laisvalaikio, vaikų užimtumo, sveikatingumo, turizmo veikloms.</t>
  </si>
  <si>
    <t>Stiprinti jaunimo, kaimo bendruomenių, kitų nevyriausybinių organizacijų iniciatyvas, skatinant verslumą, savanorystę, tvarų vartojimą</t>
  </si>
  <si>
    <t>Skatinti bendradarbiavimą tarp sektorių, ūkio subjektų populiarinant savo kraštą.</t>
  </si>
  <si>
    <t>Stiprinti smulkiuosius verslus, taikant  inovatyvius ir/ar tvarius sprendimus, diegiant skaitmenizavimą.</t>
  </si>
  <si>
    <t xml:space="preserve">h.4 . Modernizuoti kaimo vietoves didinant gyvenimo sąlygų jose patrauklumą </t>
  </si>
  <si>
    <t xml:space="preserve">h.2. Didinti kaimo gyventojų užimtumą ir  socialinę įtrauktį </t>
  </si>
  <si>
    <t xml:space="preserve">g.3 . Skatinti verslų kūrimąsi kaime, žemės ūkio veiklos įvairinimą </t>
  </si>
  <si>
    <t>h.1. Skatinti kaimo gyventojų ir kaimo bendruomenių verslo iniciatyvas</t>
  </si>
  <si>
    <t>Tvarios aplinkos kūrimas, aplinkosauginio sąmoningumo didinimas</t>
  </si>
  <si>
    <t>Kraštovaizdžio išsaugojimas ir pritaikymas poilsiui, sveikatinimui, turzmui</t>
  </si>
  <si>
    <t>Jaunimo ir su jaunimu dirbančių organizacijų stiprinimas, jaunimo užimtumo įvairinimas</t>
  </si>
  <si>
    <t>Potencialių pareiškėjų ir projektų vykdytojų mokymai</t>
  </si>
  <si>
    <t>Skaitmeninių, informacinių, komunikacinių technologijų taikymas versle</t>
  </si>
  <si>
    <t>Vietos produktų /paslaugų kūrimas ir (ar) populiarinimas taikant inovacijas</t>
  </si>
  <si>
    <t>Paslaugų įvairinimas/kūrimas, stiprinant materialinę bazę ir (ar) kompetencijas</t>
  </si>
  <si>
    <t xml:space="preserve">Vietos gyventojų socialinio aktyvumo bei verslumo skatinimas įtraukiant pažeidžiamas grupes </t>
  </si>
  <si>
    <t>Bendruomeninio verslo kūrimas skatinant savanorystę</t>
  </si>
  <si>
    <t>Tarptautinis, teritorinis bendradarbiavimas</t>
  </si>
  <si>
    <t>3 poreikis. Stiprinti jaunimo, kaimo bendruomenių, kitų nevyriausybinių organizacijų iniciatyvas, skatinant verslumą, savanorystę, tvarų vartojimą</t>
  </si>
  <si>
    <t xml:space="preserve">Inovacijų kūrimas/ naudojimas /plėtojimas produktų gamyboje </t>
  </si>
  <si>
    <t>Gerinti paslaugų kokybę,  didinti prieinamumą  ir įvairovę visoms  amžiaus ir/ar  socialiai pažeidžiamoms gyventojų grupėms.</t>
  </si>
  <si>
    <t>iki 100 / 95</t>
  </si>
  <si>
    <t>iki 95</t>
  </si>
  <si>
    <t>iki 65</t>
  </si>
  <si>
    <t xml:space="preserve">iki 90 </t>
  </si>
  <si>
    <t>iki 90</t>
  </si>
  <si>
    <t xml:space="preserve">Mokymų organizavimas </t>
  </si>
  <si>
    <t>Priemonės tikslas – skatinti NVO, yžač bendruomenių,  verslumo iniciatyvas ir kitas veiklas (švietimas, edukacijos, paslaugų teikimas), kurios stiptintų jų materialinę bazę, prisidėtų prie vietos gyventojų užimtmo ir socialinės įtraukties skaitinimo, kuriant galimas ekonominės veiklos iniciatyvas. Priemonė siejasi su BŽŪP tikslu SO8, kadangi bus skatinamas užimtumas, prisidedama prie socialinės įtraukties ir vietos plėtros kaimo vietovėse.
Šia priemone siekiama sudaryti palankesnes sąlygas vietos gyventojams naudotis įvairiomis paslaugomis (R.41) ir skatinti socialinę įtrauktį (R.42) rajone.
 VVG teritorije yra ir aktyvių kaimo bendruomenių, kurios prisideda prie rajono žmonių problemų
sprendimo, turi gebėjimų įgyvendinti projektus, todėl jų gebėjimai galėtų būti išnaudoti kuriant verslumo iniaciatyvas ir skatinant vietos gyventojų užimtumą,
galimybę įsidarbinti ir pan.</t>
  </si>
  <si>
    <t>Juridiniai asmenys – NVO, VšĮ ir kitos asociacijos, kurių veikla atitinka NVO apibrėžtį</t>
  </si>
  <si>
    <t>Fiziniai ir juridiniai asmenys: ūkininkas ar kitas fizinis asmuo, labai maža įmonė, maža įmonė.</t>
  </si>
  <si>
    <t>1.	Projekto dalyviai daugiau kaip iš penkių VVG teritorijos gyvenamųjų vietovių. 
2.	Taikomos inovacijos vietos lygiu. Detalus atrankos kriterijų sąrašas bus nustatomas priemonės įgyvendinimo taisyklėse</t>
  </si>
  <si>
    <t>1.Projekto veiklos vyksta ne mažiau kaip trijose  VVG teritorijos seniūnijose. 
2. Projekto partneris (-iai)  įstaiga (-os) ar organizacija (-os), turinti žinių aplinkosaugos srityje.
Detalus atrankos kriterijų sąrašas bus nustatomas priemonės įgyvendinimo taisyklėse</t>
  </si>
  <si>
    <t>1.	Projektą teikia jaunimo organizacija ar projekto parneriu yra jaunimo organizacija. 
2.	Projekto partneris (-iai) jaunimo organizacija ar organizacija dirbanti su jaunimu. 
Detalus atrankos kriterijų sąrašas bus nustatomas priemonės įgyvendinimo taisyklėse</t>
  </si>
  <si>
    <t>1.Didesnis apmokytų vietos projektų pareiškėjų ir vykdytojų asmenų skaičius;
2. Mokymų temų, susijusių su skaitmeninimu ir/ar inovacijomis, skaičius 
Detalus atrankos kriterijų sąrašas bus nustatomas priemonės įgyvendinimo taisyklėse</t>
  </si>
  <si>
    <t>1.Didesnis tikslinių grupių skaičius. 
2.Kuriamos inovacijos VVG teritorijoje .
Detalus atrankos kriterijų sąrašas bus nustatomas priemonės įgyvendinimo taisyklėse</t>
  </si>
  <si>
    <t>1.	Didesnis savanorių skaičius.
2.	Kuriamos inovacijos VVG teritorijoje.
Detalus atrankos kriterijų sąrašas bus nustatomas priemonės įgyvendinimo taisyklėse</t>
  </si>
  <si>
    <t>1.	Projektas susijęs su žiedine ekonomika.
2.	Kuriamos inovacijos VVG teritorijoje.
Detalus atrankos kriterijų sąrašas bus nustatomas priemonės įgyvendinimo taisyklėse</t>
  </si>
  <si>
    <t>1.	Pareiškėja (fizinis asmuo) yra moteris arba pareiškėjo (juridinio asmens) pagrindinė akcininkė, turinti daugiau kaip 50 proc. juridinio asmens akcijų, (juridinių asmenų, kurie neturi ir negali turėti akcininkų, atveju pagrindiniam akcininkui prilyginamas vadovas) yra moteris.
2.	Įdarbinami asmenys vyresni kaip 50 metų.
Detalus atrankos kriterijų sąrašas bus nustatomas priemonės įgyvendinimo taisyklėse.</t>
  </si>
  <si>
    <t xml:space="preserve">Pagal priemonę planuojamų paremti projektų skaičius apskaičiuotas pagal maksimalią galimą paramos sumą vienam projektui. </t>
  </si>
  <si>
    <t>Atsižvelgiant į suplanuotą priemonei lėšų sumą ir planuojamą finansuoti projektų skaičių, nerealu, kad  projekto veiklos apimtų visas 8 seniūnijas, tačiau veiklos vykdymo, paslaugų teikimas gali apimti visą VVG teritoriją.</t>
  </si>
  <si>
    <t>8 projektai, 8 seniūnijos. Tikimasi, kad veiklos apims visas seniūnijas ir paraiškos bus pateiktos iš visų seniūnijų panaudojant viešinimo /aktyvinio veiksmus.</t>
  </si>
  <si>
    <t>R16, R35, R36, R37, R39</t>
  </si>
  <si>
    <t>R5, R6, R42, R78</t>
  </si>
  <si>
    <t>R1, R4, R79</t>
  </si>
  <si>
    <t xml:space="preserve">Netaikoma </t>
  </si>
  <si>
    <t xml:space="preserve">Bus privalomi partneriai. </t>
  </si>
  <si>
    <t>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t>
  </si>
  <si>
    <t>8 projektai, 8 seniūnijos. Bus sudarytos sąlygos teikti paraiškas bet kurios seniniūnijos pareiškėjams. Veiklų specifika sudarys galimybes projekto rezultatais naudotis visiems VVG teritorijos gyventojams. Bus užtikrintas Taisyklių 17.2.3.1 punkto įgyvendinimas .</t>
  </si>
  <si>
    <t xml:space="preserve">Atsižvelgiant į suplanuotą priemonei lėšų sumą ir planuojamą finansuoti projektų skaičių veiklos neapims visų seniūnijų, tačiau sudarytos sąlygos teikti paraiškas bet kurios seniūnijos pareiškėjams. </t>
  </si>
  <si>
    <t>Dalyvauti projektinėse veiklose ir juos teikti bus sudarytos vienodos sąlygos visiems, netaikant pozityvios diskriminacijos pagal amžių.</t>
  </si>
  <si>
    <t xml:space="preserve">Siejama su potencialo išnaudojimu,   atsižvelgiant į 1, 2, 3, 4 stiprybes ir 1, 2, 3 ir 4 galimybes. Sutvarkius lauko  erdves atsiras viešosios erdvės įvairioms bendruomeninėms veikloms. Dėl kraštovaizdžio tvarkymo sprendimus priims patys  žmonės, taip jie skatinami labiau tapatintis su teritorija, kur gyvena, dirba bei poilsiauja, prisidėti prie vietos ir regiono savasties bei išskirtinumo įtvirtinimo. </t>
  </si>
  <si>
    <t xml:space="preserve">R4, R6. Vandens telkiniai sudaro 5 proc. teritorijos, miškai – apie 48 proc., žemės ūkio naudmenos – 34 proc., saugomų teritorijų plotas apie 22 proc. Šis rodiklis yra gerokai didesnis už vidutinį visos šalies rodiklį – 15,7 proc. ir atspindi pakankamą valstybinio ypač saugomų teritorijų tinklo išvystymą rajone: 3 rezervatai, 44 draustiniai, 1 biosferinis poligonas, 28 „Natura 2000“ teritorijos.  408 kultūros paveldo objektai.  Yra dar daug apleistų, tvarkytinų erdvių. </t>
  </si>
  <si>
    <t xml:space="preserve">Poreikis suformuluotas atsižveliant į 5,6 stiprybes, bei 1 ir 2 galimybę. </t>
  </si>
  <si>
    <t xml:space="preserve">Susitikimuose ir apklausoje buvo prieita prie išvados, kad saugomas teritorijas galima išnaudoti kaip krašto išskirtinumą ne tik turizmui, bet vietos gyventojui, skatinti gyventojus tvariai mąstyti. Gamtos paminklai,  gražios, bet dar vis apleistos erdvės, išskirtinis kraštovaizdis saugomose teritorijose - neišnaudotas potencialas. Sprendžiama problema – atsiranda natūralių laisvalaikio erdvių. Priemonė siejasi su tema, nes  skatinamas tvarios aplinkos kūrimas (nykstančios bioįvairovės,  kraštovaizdžio  saugojimas) bendradarbiaujant.  Tenkinami 1, 3 ir 4 VPS poreikiai. </t>
  </si>
  <si>
    <t xml:space="preserve">Tikslas - skatinti vietos gyventojų socialinį aktyvumą, sąmoningumą tvarumo ir atliekų rūšiavimo, ypač maisto, srityse, edukuojant visuomenę. Planuojama skatinti mažinti maisto atliekų kiekį ir rinktis sveiką mitybą. Gyventojai dar nepasiruošę maisto atliekų rūšiavimui.   Tvarus maisto vartojimas  sprendžia ir sveikatos problemas. Susietumas su VPS tema, nes įgyvendinant SO9 tikslą, iš dalies prisidedant  ir prie SO4 tikslo, bus ieškoma sumanių sprendimų mažinant maisto atliekų kiekį , skatinti sveiką gyvenseną. Priemone prisidedama prie BŽŪP R.41   rodiklio, patenkinami  1 ir 3 VPS poreikiai.  </t>
  </si>
  <si>
    <t xml:space="preserve">Tikslas - aktyvinti, skatinti jaunimą dalyvauti kaimo vietovių sumanumui didinti skirtose veiklose. Siejama su 8 konkretaus tikslo siekiais:  vietos plėtra, socialinė įtrauktis. P. įgyvendinimas prisidės prie BŽŪP R.41  R.42 rodiklių. Jaunimo ir su jaunimu dirbančios NVO bus įgalintos prisidėti prie gyventojų užimtumo didinimo, inicijuoti gyvenimo būdo pokyčius, susijusius su ES Žaliojo kurso įgyvendinimu. Priemonė tiesiogiai siejasi su VPS tema, nes bus tenkinami gyventojų poreikiai, panaudojant sumanias idėjas. </t>
  </si>
  <si>
    <t xml:space="preserve">Priemone prisidedama prie BŽŪP R.41  R.42 rodiklių įgyvendinimo. Siekiant patenkinti visus  VPS poreikius, būtini mokymai. Beveik visose priemonėse  numatytos inovacijos ir bendradarbiavimas. Susitikimuose ir apklausoje didelis poreikis mokytis, nes  žmonėms trūksta informacijos apie žiedinę ekonomiką, skaitmenizavimą, žaliąjį kursą, sveikatinimą. Todėl numatyta didesnė dalis mokymų, veiklų projektų, kurių dėka labiau sutelkiama, šviečiama, tuo pačiu įtraukiama į bendrus sprendimų priėmimus.  </t>
  </si>
  <si>
    <t xml:space="preserve">Tikslas – skatinti gyventojų užimtumą, bei naujų technologijų ir skaitmeninimo procesų diegimą ūkių veikloje, skatinant inovatyvių ir tvarių sprendimų diegimą, užtikrinant išmanųjį ūkininkavimą, našumo žemės ūkyje didinimą bei tvarią plėtrą. Priemone siekiama prisidėti prie žemės ūkio modernizavimo ir skaitmeninimo, skatinant  aplinką tausojančių sprendimų diegimą, ekologinį ūkininkavimą, bitininkystę , vaistažolių  auginimą VVG teritorijoje. Priemone prisidedama prie kompleksinio tikslo XCO įgyvendinimo,   prie BŽŪP R.37,  R.39 rodiklių įgyvendinimo.  Bus patenkintas 2 VPS poreikis. </t>
  </si>
  <si>
    <t xml:space="preserve">Tikslas – didinti gyventojų užimtumą, skatinti ir palaikyti verslo kūrimąsi ir plėtrą, didelį dėmesį skiriant inovacijų, išmanių, tvarių, klimatui neutralių sprendimų diegimui, sprendžiant gyventojų, pirmiausia – jaunimo ir ikipensinio amžiaus žmonių užimtumo problemas, tuo pačiu siekiant sudaryti sąlygas kurtis bei plėtotis verslui, siūlančiam išmanius, tvarius ir klimato pokyčiams neutralius sprendimus. Tai prisideda prie VPS temos. Kaimo vietovėse jaučiamas paslaugų trūkumas.  Priemone prisidedama prie BŽŪP R.37  ir R.39  rodiklių,   bus patenkinti 2 ir 3 VPS poreikiai. </t>
  </si>
  <si>
    <t xml:space="preserve">Tikslas – didinti gyventojų užimtumą, skatinti ir palaikyti verslo kūrimąsi ir plėtrą, didelį dėmesį skiriant inovacijų, išmanių, tvarių, klimatui neutralių sprendimų diegimui, sprendžiant gyventojų, pirmiausia – jaunimo ir ikipensinio amžiaus žmonių užimtumo problemas, tuo pačiu siekiant sudaryti sąlygas kurtis bei plėtotis verslui, siūlančiam išmanius, tvarius ir klimato pokyčiams neutralius sprendimus. Tai prisideda prie VPS temos. Kaimo vietovėse trūksta paslaugų, ypač inovatyvių, kokybišksnių.   Priemone prisidedama prie BŽŪP R.37  ir R.39  rodiklių,   bus patenkinti 2 ir 3 VPS poreikiai. 
</t>
  </si>
  <si>
    <t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nes verslumo iniciatyvos bus pasitelkiamos socialinėms problemoms spręsti. Bus sudarytos prielaidos integruoti pažeidžiamas gyventojų grupes į visuomenę, teikti kompleksiškas, individualius poreikius atitinkančias paslaugas bendruomenėje ar šeimoje, įtraukimas jaunimas skatinant savanorystę. </t>
  </si>
  <si>
    <t>R7, R7.1, R7.2, R7.3, R7.4, R7.5, R7.6, R7.7</t>
  </si>
  <si>
    <t xml:space="preserve">R8.2, R29, R29.1, R29.2, R29.3, </t>
  </si>
  <si>
    <t>R3.1, R3.2, R3.3</t>
  </si>
  <si>
    <t>R42.1, R77, R77.1, R77.2</t>
  </si>
  <si>
    <t>R8, R8.1,  R8.3, R8.4, R59, R59.1, R59.2</t>
  </si>
  <si>
    <t xml:space="preserve"> R12.1, R12.2, R12.5, R45</t>
  </si>
  <si>
    <t xml:space="preserve">R17, R17.1, R17.2, R21, R65, </t>
  </si>
  <si>
    <t xml:space="preserve"> R18, R20, R30, </t>
  </si>
  <si>
    <t xml:space="preserve"> R8, R9, R22, R39, R79, R81</t>
  </si>
  <si>
    <t>R12.2, R15, R16, R17, R21,  R33, R44, R45, R62, R63, R64</t>
  </si>
  <si>
    <t>R14, R22, R29, R29.1, R81</t>
  </si>
  <si>
    <t>R12, R12.3, R12.4, R28, R33</t>
  </si>
  <si>
    <t>R28,  R33,  R59</t>
  </si>
  <si>
    <t>R15, R15.1, R54, R59.1</t>
  </si>
  <si>
    <t>R43, R43.1, R45</t>
  </si>
  <si>
    <t>R53.1, R55, X</t>
  </si>
  <si>
    <t xml:space="preserve">  R20, R30</t>
  </si>
  <si>
    <t xml:space="preserve"> R39, R45, R45.1 R46</t>
  </si>
  <si>
    <t>R3, R3.4,  R16, R19, R26, R75</t>
  </si>
  <si>
    <t xml:space="preserve">Brangstančių energetinių išteklių įtakojimas teikiamų paslaugų ir produktų kainodarai, konkurencingumo mažinimui. </t>
  </si>
  <si>
    <t>R55, 1 informacijos šaltinis</t>
  </si>
  <si>
    <t>R51, R52, 2 ir 3 informacijos šaltiniai</t>
  </si>
  <si>
    <t>Pastaba</t>
  </si>
  <si>
    <t>1 informacijos šaltinis 
2022–2030 m. Vilniaus regiono plėtros planas, https://www.e-tar.lt/portal/lt/legalAct/36610510bcd411ed97b2975f7dad7488
2 informacijos šaltinis 
https://finmin.lrv.lt/uploads/finmin/documents/files/ERS%20aprasymas_2022_gruodis.pdf
3 informacijos šaltinis
Lietuvos ekonomikos apžvalga (Lietuvos bankas, 2023 m.)
 https://www.lb.lt/uploads/publications/docs/40652_bef09070406c0b0353504d25bb9d2dfa.pdf</t>
  </si>
  <si>
    <t xml:space="preserve">Poreikis suformuluotas atsižveliant į 2, 3, 4,  6 stiprybes ir į 2, 5, 6 galimybes. Pasitelkiant amatininkus, eko ūkius, panaudojant daugiakultūrę patirtį trūksta bendradarbiavimo norint taikyti inovacijas, priimti sumanius sprendimus. Tiesioginis ryšys tarp vartotojų ir gamintojų garsinant savo kraštą taip pat sėkmingas tik bendradarbiavimo pagalba.   </t>
  </si>
  <si>
    <t>Poreikis suformuluotas atsižveliant į 2, 4, 5 ir 6 stiprybes bei į 3,4, 5, 6 galimybes. Pasinaudodami paramos galimybėmis, verslo subjektai galės įvairinti bei modernizuoti paslaugas, kurti naujas,  taikyti jaunų ir/ar naujų gyventojų inovatyvias verslumo iniciatyvas. Sėkmingai verslo plėtrai pasitarnaus ir gamintojų bei vartotojų bendradarbiavimas, inovacijų taikymas.</t>
  </si>
  <si>
    <t>Poreikis suformuluotas atsižveliant į  3 stiprybę ir 2 bei 5 galimybes. Paslaugų prieinamumo didinimas padės spręsti blogėjančios demografinės situacijos įtakojamos socialinės atskirties problemas, poreikio tenkinimas prisidės prie socialinių paslaugų įvairovės didinimo, į socialinių problemų sprendimą skatins įsitraukti NVO, taikyti sumanius socialinių problemų sprendimo būdus, skatinti savanorystę.</t>
  </si>
  <si>
    <t xml:space="preserve">3, 4 silpnybė, 4, 6 grėsmės. Gyventojų informacinių technologijų lygis vis dar yra nepakankamas. Būtina mokyti  išnaudoti informacinių technologijų galimybes kasdieniniame gyvenime. Pakyginus žemas  ekonominio raštingumo lygis. </t>
  </si>
  <si>
    <t xml:space="preserve">Susiję su Trakų rajono savivaldybės 2016–2025 metų strateginio plėtros plano  II prioritetine sritimi  „Sumanios ir socialiai aprūpintos visuomenės kūrimas”, Trakų rajono savivaldybės žaliojo kurso strategija iki 2035 m., 2022-2030 m. Vilniaus regiono plėtros plano 3 tikslo ,,Mažinti socialinę atskirtį" įgyvendinimu. </t>
  </si>
  <si>
    <t>Bendruomeninės organizacijos, atitinkančios NVO statusą, registruotos ne mažiau kaip prieš metus VVG teritorijoje teikiant paraišką.</t>
  </si>
  <si>
    <t>NVO, VšĮ ir kitos asociacijos, kurių veikla atitinka NVO apibrėžtį,  registruotos ne mažiau kaip prieš metus VVG teritorijoje teikiant paraišką.</t>
  </si>
  <si>
    <t xml:space="preserve"> NVO, VšĮ ir kitos asociacijos, kurių veikla atitinka NVO apibrėžtį,  registruotos ne mažiau kaip prieš metus VVG teritorijoje teikiant paraišką.</t>
  </si>
  <si>
    <t>Reikalavimas bus taikomas kaip tinkamumo sąlyga.</t>
  </si>
  <si>
    <t>Papildomi atrankos balai.</t>
  </si>
  <si>
    <t>Susijęs su  Trakų rajono savivaldybės 2016–2025 metų strateginio plėtros plano I prioritetine sritimi „Turistinio potencialo didinimas ir ekonominės plėtros skatinimas” ir II „Sumanios ir socialiai aprūpintos visuomenės kūrimas”, 2022–2030 m. Vilniaus regiono plėtros plano 3 tikslo ,,Mažinti socialinę atskirtį" įgyvendinimu.</t>
  </si>
  <si>
    <t>Susijęs su Trakų r. savivaldybės 2016–2025 metų strateginio plėtros plano I prioritetine sritimi „Turistinio potencialo didinimas ir ekonominės plėtros skatinimas” ir II „Sumanios ir socialiai aprūpintos visuomenės kūrimas”, su  2022-2030 m. Vilniaus regiono plėtros plano 1.1 uždavinio ,,Sudaryti patrauklias sąlygas pritraukti investicijas, vidiniams netolygumams mažinti", su  su strategijos  LIETUVA 2030 įgyvendinimu, kuriant sumanią ekonomiką.</t>
  </si>
  <si>
    <t xml:space="preserve">Susijęs su Trakų r. savivaldybės žaliojo kurso strategijos iki 2035 m, I pr.  1.1 tiklsu „Pagerinti savivaldybės viešųjų erdvių būklę ir išsaugoti biologinės įvairovės lygį", III pr.  3.3 tiklsu, su 2022-2030 m. Vilniaus regiono plėtros plano 1.2 uždavinio ,,Paskatinti tolygią kūrybinės ekonomikos ir turizmo plėtrą",  ES Baltijos jūros regiono strategijos 2019-2024 m. politikos srities ,,Turizmas" įgyvendinimu. </t>
  </si>
  <si>
    <t>Atsižvelgta į gyventojų nuomonę išsakytą susitikimuose, paeiktą apklausoje (50 proc.). R7, R7.2,  R18,  R20, R30,   Norima burtis ir  dažniau  laisvalaikį leisti gamtos apsuptyje, tačiau jos neužteršti.</t>
  </si>
  <si>
    <t xml:space="preserve">Planuojami 8 projektai VVG teritorijoje. Bus patenkinti 1, 3 ir 4 poreikiai. Sutvarkytos/pritaikytos ne mažiau kaip 8 viešosios erdvės gamtoje. </t>
  </si>
  <si>
    <t>Talkos, akcijos, plenerai, stovyklos, eko dirbtuvės, kiti renginiai, susiję su kraštovaizdžio išsaugojimu pritaikant erdves.</t>
  </si>
  <si>
    <t>Pareiškėjai - visos NVO, kurių veikla atitinka NVO apibrėžtį.   Partneriai - NVO, kurių veikla atitinka NVO apibrėžtį, biudžetinės įstaigos.</t>
  </si>
  <si>
    <t xml:space="preserve">Tinkamumo sąlygos pareiškėjams  ir  vietos projektams bus nurodytos Vietos projektų administravimo taisyklėse. </t>
  </si>
  <si>
    <t>Tinkamumo sąlygos pareiškėjams  ir  vietos projektams bus nurodytos Vietos projektų administravimo taisyklėse. .</t>
  </si>
  <si>
    <t xml:space="preserve">Pagal priemonę planuojamų paremti projektų skaičius apskaičiuotas pagal seniūnijų skaičių, bus siekiama, kad kiekvienoje seniūnijoje būtų sutvarkta po erdvę. 8 seniūnijos, 8 erdvės. </t>
  </si>
  <si>
    <t>Suteikiami papildomi balai</t>
  </si>
  <si>
    <t>Planuojami 2 projektai, skatinantys vietos gyventojų socialinį aktyvumą, sąmoningumą tvarumo ir atliekų rūšiavimo, ypač maisto, srityse, edukuojant visuomenę. Planuojama skatinti mažinti maisto atliekų kiekį ir rinktis sveiką mitybą. Planuojama įtraukti 200 gyventojų.</t>
  </si>
  <si>
    <t>Netaikoma.</t>
  </si>
  <si>
    <t>Bus privalomi partneriai.</t>
  </si>
  <si>
    <t xml:space="preserve">Taikomi reiklavaimai, skatinantys  mažinti maisto atliekų kiekį, jas rūšiuoti,  ir rinktis sveiką mitybą. Reikalavimai bus numatyti vertinimo kriterijuose. </t>
  </si>
  <si>
    <t>Lauko dienos, stovyklos, eko dirbtuvės, kiti renginiai, susiję su tvarios aplinkos kūrimu, aplinkosauginio sąmoningumo diddinimu.</t>
  </si>
  <si>
    <t xml:space="preserve"> </t>
  </si>
  <si>
    <t xml:space="preserve">Pagal priemonę planuojamų paremti projektų skaičius apskaičiuotas atsižvelgiant į poreikius, suma projektui paskaičiuota atsižvelgiant į įgyvendinamos VPS patirtį, įgyvendinant tik veiklos projektus. </t>
  </si>
  <si>
    <t xml:space="preserve">Įgyvendinus priemonę suaktyvės jaunimo,  kitų organizacijų, dirbančių su jaunimu, veikla, daugiau jaunų žmonių dalyvaus formalių organizacijų veikloje, sumanūs sprendimai bus priimamai atsižvelgiant ir į jaunimo  nuomonę, bus paskatinta savanorystė, įgyta verslumo įgūdžių,  pagerės projektuose dalyvavusių NVO teikiamų paslaugų kokybė. </t>
  </si>
  <si>
    <t xml:space="preserve">Bus numatyti atrankos kriterijai. </t>
  </si>
  <si>
    <t xml:space="preserve">Netaikoma. </t>
  </si>
  <si>
    <t>Taikomi reikalavimai (bent 1 iš alternatyvų): 
1) projekto veiklos prisideda prie gyventojų ekologinio, aplinkosauginio sąmoningumo ugdymo (stovyklos, neformalus ugdymas, terapija ir pan.);
2) į VP įgyvendinimą įtrauktos veiklos, susijusios su aplinkosauginiu švietimu ir jo svarba, tvarumu, ekologinių sprendimų įgyvendinimu, fizinio aktyvumo skatinimu.</t>
  </si>
  <si>
    <t>Stovyklos, akcijos,  apvalauis stalo diskusijos, edukacijos, žygiai, kiti  renginiai, susiję su jaunimo aktyvinimu.</t>
  </si>
  <si>
    <t xml:space="preserve">Padidėjęs  gyventojų ekologinis, aplinkosauginis sąmoningumas; įvairių sektorių atstovai geba priimti bendrus sprendimus,  teikiami projektai inovatyvūs, juos įgyvedinant priimami tvarūs sprendimai. </t>
  </si>
  <si>
    <t>Pagal priemonę gali būti pasirenkamos viena arba kelios remtinos ekonominės veiklos, susijusios su skaitmeninių, informacinių komunikacinių technologijų taikymu versle.  Remiama: AEI, skaitmeninių, kitų pažangių sprendimų diegimas; įrangos įsigijimas; paslaugų įsigijimas.</t>
  </si>
  <si>
    <t>Paskatintas  naujų technologijų ir skaitmeninimo procesų diegimas ūkių veikloje,  inovatyvių ir tvarių sprendimų diegimas, užtikrinant išmanųjį ūkininkavimą, našumo žemės ūkyje didinimą bei tvarią plėtrą.</t>
  </si>
  <si>
    <t xml:space="preserve">Paskatintas bendradarbiavimas  tarp ūkių, smulkaus verslo; Sustiprėję partnerystės ryšiai tarp vietos verslininkų: paslaugų teikėjų/produktų gamintyojų ir  turizmo verslo atstovų vystant skaitmenizavimą ir nuotolinį pardavimą; organizuojant maistop hgradnines. </t>
  </si>
  <si>
    <t xml:space="preserve"> Išaugęs paslaugų skaičius (ne mažiau kaip 4 naujos paslaugos) </t>
  </si>
  <si>
    <t xml:space="preserve">Pagal priemonę planuojamų paremti projektų skaičius apskaičiuotas pagal poreikį, vieno projekto suma paskaičiuota be investicijų į infrastruktūrą.  </t>
  </si>
  <si>
    <t>Bus keliamas reikalavimas, kad rezultatas būtų susijęs su žiedine ekonomika (tvarus maisto naudojimas, maisto grandinės kt.)</t>
  </si>
  <si>
    <t>Pagal priemonę remiamos viena arba kelios  ekonominės veiklos, susijusios su maisto tvarumu.</t>
  </si>
  <si>
    <t xml:space="preserve">Pagal priemonę planuojamų paremti projektų skaičius apskaičiuotas pagal poreikį .   Suma projektui paskaičiuota atsižvelgiant į įgyvendinamos VPS patirtį, įgyvendinant tik veiklos projektus. </t>
  </si>
  <si>
    <t>Pagal priemonę remiamos viena arba kelios  ekonominės veiklos verslo pradžiai ar /ir plėtrai.</t>
  </si>
  <si>
    <t>Pagal priemonę remiamos viena arba kelios  ekonominės veiklos socialinio verslo pradžiai ar /ir plėtrai.</t>
  </si>
  <si>
    <t xml:space="preserve"> Sudarytos prielaidos integruoti pažeidžiamas gyventojų grupes į visuomenę, teikti kompleksiškas, individualius poreikius atitinkančias paslaugas bendruomenėje ar šeimoje, įtrauktas jaunimas skatinant savanorystę. </t>
  </si>
  <si>
    <t xml:space="preserve">Padidėjęs NVO sektoriaus verslumas, gebėjimas pasirūpinti savo bendruomenės nariais; paskatinta sektorių partnerystė; sukurta nauja paslauga pritaikant bent vieną  inovaciją; suaktyvinta savanorystė.
</t>
  </si>
  <si>
    <t>Bus keliamas reikalavimas, kad paslaugos būtų susijusios su maistu ir sveikata.</t>
  </si>
  <si>
    <t xml:space="preserve">Bus keliamas reikalavimas, kad socialinis verslas  būtų susijęs su sveika gyvensena. </t>
  </si>
  <si>
    <t>bus keliamas reikalavimas, kad bendruomeninis verslasbūtų susijęs su tvariu vystymusi; gamtos išteklių naudojimu mažinant priklausomybę nuo cheminių medžiagų.</t>
  </si>
  <si>
    <t>Reikalavimas bus taikomas kaip tinkamumo sąlyga</t>
  </si>
  <si>
    <t>R.26, R45, R46. Soc. pažeidžiama grupė senėjanti visuomenė, bedarbiai, iš jų daugiau nei pusė  (60 proc.) yra nekvalifikuoti.</t>
  </si>
  <si>
    <t xml:space="preserve">  Formuojant poreikį, atsižvelgta ir į 2, 3, 6 silpnybes bei 4 grėsmę. </t>
  </si>
  <si>
    <t>Gyventojai išreiškė poreikį  dėl paslaugų kokybės ir įvairumo apklausos  (48.3 proc.) ir susitikimų metu (R 9).</t>
  </si>
  <si>
    <t>Atsižvelgta į gyventojų nuomonę išsakytą susitikimuose, paeiktą apklausoje  dėl verslų (50 proc.), inovacijų  (39.6 proc.) (R12), žiedinės bioekonomikos  skatinimo (R14)</t>
  </si>
  <si>
    <t>Atsižvelgta į gyventojų nuomonę išsakytą susitikimuose, paeiktą apklausoje (39 proc. apklaustųjų siūlo kurti priemones Savanorystę skatinančioms iniciatyvoms vystyti  (39.3 proc.) (R 15), aktyvinti NVO ir jaunimą,</t>
  </si>
  <si>
    <t>Atsižvelgta į gyventojų nuomonę, išsakytą susitikimuose, paeiktą apklausoje (smulkių ūkio subjektų bendradarbiavimui  (41.2 proc.) (R 13) , kt).</t>
  </si>
  <si>
    <t>Lentavrio  ir Senųjų Trakų seniūnijose daugiausiai vidutinių ir didelių įmonių, gamyklų, ir dabar dar statomų,  (R8.1), VVG  veikia dvi žemės ūkio bendrovės (R59).,  veikia „AČIŪ“ stotelė, (R8.2). Pastebėta tendencija, kad įmonės/ ūkiai neišnaudoja tarpusavio bendradarbiavimo galimybių (R59.2), o esamas jų bendradarbiavimas yra pakankamai neišplėtotas (R59.1).</t>
  </si>
  <si>
    <t xml:space="preserve">Atsižvelta į 4, 6 silpnybes, 2 ir 6 grėsmes. Kaimiškosiose vietovėse nėra jaunimo organizacijų,, pasyvios bendruomenės nėra lyderių. </t>
  </si>
  <si>
    <t xml:space="preserve">R21. VVG teritorijoje registruotos  47 bendruomenės, iš jų  39 kaimiškosiose teritorijose, tačiau aktyvių tik apie 10 (R62). Nevyriausybinių jaunimo organizacijų kaimiškosiose teritorijose visai nėra, o su jaunimu dirba tik 2 (R65). </t>
  </si>
  <si>
    <t>1 poreikis. Pritaikyti  kraštovaizdį,  kultūros ir gamtos paveldą laisvalaikio, vaikų užimtumo, sveikatingumo, turizmo veikloms.</t>
  </si>
  <si>
    <t>4 poreikis. Skatinti bendradarbiavimą tarp sektorių, ūkio subjektų populiarinant savo kraštą.</t>
  </si>
  <si>
    <t>5 poreikis. Gerinti paslaugų kokybę,  didinti prieinamumą  ir įvairovę visoms  amžiaus ir/ar  socialiai pažeidžiamoms gyventojų grupėms.</t>
  </si>
  <si>
    <t>2 poreikis. Stiprinti smulkiuosius verslus, taikant  inovatyvius ir/ar tvarius sprendimus, diegiant skaitmenizavimą.</t>
  </si>
  <si>
    <t>Susijęs su Trakų rajono savivaldybės 2016–2025 metų strateginio plėtros plano II prioriteto tiklsine sritimi „Sumanios ir socialiai aprūpintos visuomenės kūrimas”, Trakų rajono savivaldybės žaliojo kurso strategija iki 2035 m., 2022-2030 m. Vilniaus regiono plėtros plano 3 tikslo ,,Mažinti socialinę atskirtį" įgyvendinimu.</t>
  </si>
  <si>
    <t>Trakų krašto vietos veikos grupės NVO, biudžetinių įstaigų atstovai</t>
  </si>
  <si>
    <t>Trakų krašto vietos veiklos grupės NVO, biudžetinių įstaigų atstovai</t>
  </si>
  <si>
    <t>Trakų krašto vietos veiklos grupės NVO atstovai, jaunimas.</t>
  </si>
  <si>
    <t>Potencialūs vietos projektų pareiškėjai, vykdytojai.</t>
  </si>
  <si>
    <t>Žemės ūkio bendrovių, ūkininkų, mažojo ir smulkiojo verslo atstovai.</t>
  </si>
  <si>
    <t xml:space="preserve">Ūkio subjektai (fiziniai (amatininkai, kt.) ir (arba) juridiniai asmenys) </t>
  </si>
  <si>
    <t>Ūkio subjektai (fiziniai (amatininkai, kt.) ir (arba) juridiniai asmenys)</t>
  </si>
  <si>
    <t>Socialinio verslo naudos gavėjai ir klientai</t>
  </si>
  <si>
    <t>VVG teritorijos bendruomeninės organizacijos, jų atstovai</t>
  </si>
  <si>
    <t xml:space="preserve">VVG atstovai </t>
  </si>
  <si>
    <t>Dviejuose ūkiuose bus sukurtos 2 darbo vietos .</t>
  </si>
  <si>
    <t>Ūkio / verslo subjektams bendradarbiaujant bus sukurta 1 darbo vieta.</t>
  </si>
  <si>
    <t>Keturiose verslo įmonėse bus sukurtos 4 darbo vietos.</t>
  </si>
  <si>
    <t>Dviejose nevyriausybinėse organizacijose steigiant/plečiant socialinį verslą bus sukurta po 1 darbo vietą.</t>
  </si>
  <si>
    <t xml:space="preserve">Steigiant bendromeninį verslą, nerealu, kad išsilaikytų 1 darbo vieta, steigiama 0,5 etato. </t>
  </si>
  <si>
    <t>susitikimų metu buvo nustatytas poreikis bendradarbiavimui arba amtininmų, arba kuriant maisto grandines.</t>
  </si>
  <si>
    <t>Buvo nustatytas poreikis projekto metu apmokinti asmenį, suteikti jam kompetencijų dirbti inovatyviai, tada jį įdarbinti. Numatytos 4 verslo įmonės, kurios galimai pasinaudos parama.</t>
  </si>
  <si>
    <t xml:space="preserve">Socialinio verslo tęstinumui numatytos dvi NVO kaip verslo įstaigos. </t>
  </si>
  <si>
    <t>Numatyti 8 projektai, 1 VP metu nauda numatyta daugiau kaip 100 asmenų.</t>
  </si>
  <si>
    <t>2 VP metu į veiklas bus įtraukta 300 NVO ir biudžetinių įstaigų atstovų.</t>
  </si>
  <si>
    <t xml:space="preserve">Potencialių pareiškėjų realiai yra mažiau, tačiau suteikti žinių numatyta didesnei daliai asmenų, kurie gali būti verslo ir ypač veiklos projektų vykdytojais </t>
  </si>
  <si>
    <t xml:space="preserve">Planuojama apimti visas 8 seniūnijas, didesnėse seniūnijose numatyta po 100 dalyvių, mažesnėse po 50. </t>
  </si>
  <si>
    <t xml:space="preserve">Numatyti 2 jaunimo projektai, kurių metu bus įtauktas jaunimas iš socialinės rizikos šeimų. </t>
  </si>
  <si>
    <t xml:space="preserve">Numatyti 2 projektai, kurių metu tvarkant viešąją erdvę ji bus pritaikoma judėjimo negalią turintiems, ten jiems organizuoti renginiai. </t>
  </si>
  <si>
    <t xml:space="preserve">Pagal savivaldybės soc. Paramos skyriaus duomenis pirties/skalbyklos/ naudosis 50 asmenų (1 VP), senuvo amžiaus žmonių užimtumas (dienos centras) - 30 žmonių. </t>
  </si>
  <si>
    <t>Į savanorystę įtraukiami 5 vieniįi asmenys</t>
  </si>
  <si>
    <t>Susitikime su ūkininkais buvo preikštas poreikis, įsigyti įrangą ir programas derliaus priėmimui, išdavimui. Planuojama remti 2 ūkius.</t>
  </si>
  <si>
    <t>1.	Sukuriama (-os) darbo vieta (-os) asmeniui (-ims) iki 40 metų imtinai 
      2. Kuriamas žemės ūkio verslas 
Detalus atrankos kriterijų sąrašas bus nustatomas priemonės įgyvendinimo taisyklėse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</si>
</sst>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
      <sz val="12"/>
      <color theme="1"/>
      <name val="Times New Roman"/>
      <family val="1"/>
      <charset val="186"/>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0">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0" fontId="38" fillId="0" borderId="1" xfId="0"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7"/>
  <sheetViews>
    <sheetView topLeftCell="A20" workbookViewId="0">
      <selection activeCell="D37" sqref="D37"/>
    </sheetView>
  </sheetViews>
  <sheetFormatPr defaultColWidth="9.109375" defaultRowHeight="14.4" x14ac:dyDescent="0.3"/>
  <cols>
    <col min="1" max="1" width="4.6640625" style="1" customWidth="1"/>
    <col min="2" max="2" width="8.6640625" style="41" customWidth="1"/>
    <col min="3" max="3" width="18.6640625" style="18" customWidth="1"/>
    <col min="4" max="4" width="45.6640625" style="1" customWidth="1"/>
    <col min="5" max="5" width="60.6640625" style="41" customWidth="1"/>
    <col min="6" max="6" width="15.6640625" style="18" hidden="1" customWidth="1"/>
    <col min="7" max="8" width="12.6640625" style="18" hidden="1" customWidth="1"/>
    <col min="9" max="9" width="15.6640625" style="18" hidden="1" customWidth="1"/>
    <col min="10" max="10" width="20.6640625" style="18" hidden="1" customWidth="1"/>
    <col min="11" max="11" width="15.6640625" style="570" hidden="1" customWidth="1"/>
    <col min="12" max="14" width="15.6640625" style="18" hidden="1" customWidth="1"/>
    <col min="15" max="16" width="15.6640625" style="1" customWidth="1"/>
    <col min="17" max="16384" width="9.109375" style="1"/>
  </cols>
  <sheetData>
    <row r="2" spans="3:4" ht="28.8" x14ac:dyDescent="0.3">
      <c r="C2" s="569" t="s">
        <v>1682</v>
      </c>
    </row>
    <row r="3" spans="3:4" x14ac:dyDescent="0.3">
      <c r="C3" s="177"/>
      <c r="D3" s="1" t="s">
        <v>1617</v>
      </c>
    </row>
    <row r="4" spans="3:4" x14ac:dyDescent="0.3">
      <c r="C4" s="178"/>
      <c r="D4" s="1" t="s">
        <v>1111</v>
      </c>
    </row>
    <row r="5" spans="3:4" x14ac:dyDescent="0.3">
      <c r="C5" s="179"/>
      <c r="D5" s="1" t="s">
        <v>1112</v>
      </c>
    </row>
    <row r="6" spans="3:4" x14ac:dyDescent="0.3">
      <c r="C6" s="259"/>
      <c r="D6" s="1" t="s">
        <v>1113</v>
      </c>
    </row>
    <row r="7" spans="3:4" x14ac:dyDescent="0.3">
      <c r="C7" s="180"/>
      <c r="D7" s="1" t="s">
        <v>1113</v>
      </c>
    </row>
    <row r="8" spans="3:4" x14ac:dyDescent="0.3">
      <c r="C8" s="201"/>
      <c r="D8" s="1" t="s">
        <v>1621</v>
      </c>
    </row>
    <row r="10" spans="3:4" ht="28.8" x14ac:dyDescent="0.3">
      <c r="C10" s="569" t="s">
        <v>1683</v>
      </c>
    </row>
    <row r="11" spans="3:4" x14ac:dyDescent="0.3">
      <c r="C11" s="177"/>
      <c r="D11" s="1" t="s">
        <v>1685</v>
      </c>
    </row>
    <row r="12" spans="3:4" x14ac:dyDescent="0.3">
      <c r="C12" s="726"/>
      <c r="D12" s="1" t="s">
        <v>1686</v>
      </c>
    </row>
    <row r="13" spans="3:4" x14ac:dyDescent="0.3">
      <c r="C13" s="574"/>
      <c r="D13" s="1" t="s">
        <v>1684</v>
      </c>
    </row>
    <row r="15" spans="3:4" x14ac:dyDescent="0.3">
      <c r="C15" s="181" t="s">
        <v>1618</v>
      </c>
    </row>
    <row r="16" spans="3:4" x14ac:dyDescent="0.3">
      <c r="C16" s="105" t="s">
        <v>1679</v>
      </c>
    </row>
    <row r="17" spans="2:16" x14ac:dyDescent="0.3">
      <c r="C17" s="105" t="s">
        <v>1680</v>
      </c>
    </row>
    <row r="18" spans="2:16" x14ac:dyDescent="0.3">
      <c r="C18" s="182" t="s">
        <v>1681</v>
      </c>
    </row>
    <row r="19" spans="2:16" x14ac:dyDescent="0.3">
      <c r="C19" s="182" t="s">
        <v>1619</v>
      </c>
    </row>
    <row r="20" spans="2:16" customFormat="1" x14ac:dyDescent="0.3">
      <c r="B20" s="168"/>
      <c r="C20" s="105" t="s">
        <v>1622</v>
      </c>
      <c r="E20" s="168"/>
      <c r="F20" s="8"/>
      <c r="G20" s="8"/>
      <c r="H20" s="8"/>
      <c r="I20" s="8"/>
      <c r="J20" s="8"/>
      <c r="K20" s="571"/>
      <c r="L20" s="8"/>
      <c r="M20" s="8"/>
      <c r="N20" s="8"/>
    </row>
    <row r="21" spans="2:16" customFormat="1" x14ac:dyDescent="0.3">
      <c r="B21" s="168"/>
      <c r="C21" s="105"/>
      <c r="E21" s="168"/>
      <c r="F21" s="8"/>
      <c r="G21" s="8"/>
      <c r="H21" s="8"/>
      <c r="I21" s="8"/>
      <c r="J21" s="8"/>
      <c r="K21" s="571"/>
      <c r="L21" s="8"/>
      <c r="M21" s="8"/>
      <c r="N21" s="8"/>
    </row>
    <row r="22" spans="2:16" customFormat="1" ht="18" x14ac:dyDescent="0.3">
      <c r="B22" s="609" t="s">
        <v>1642</v>
      </c>
      <c r="E22" s="168"/>
      <c r="F22" s="8"/>
      <c r="G22" s="8"/>
      <c r="H22" s="8"/>
      <c r="I22" s="8"/>
      <c r="J22" s="8"/>
      <c r="K22" s="571"/>
      <c r="L22" s="8"/>
      <c r="M22" s="8"/>
      <c r="N22" s="8"/>
    </row>
    <row r="23" spans="2:16" s="176" customFormat="1" ht="57.6" x14ac:dyDescent="0.3">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28.8" x14ac:dyDescent="0.3">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3.2" x14ac:dyDescent="0.3">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28.8" x14ac:dyDescent="0.3">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28.8" x14ac:dyDescent="0.3">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x14ac:dyDescent="0.3">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28.8" x14ac:dyDescent="0.3">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43.2" x14ac:dyDescent="0.3">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28.8" x14ac:dyDescent="0.3">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3.2" x14ac:dyDescent="0.3">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28.8" x14ac:dyDescent="0.3">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86.4" x14ac:dyDescent="0.3">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57.6" x14ac:dyDescent="0.3">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57.6" x14ac:dyDescent="0.3">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86.4" x14ac:dyDescent="0.3">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2" x14ac:dyDescent="0.3">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x14ac:dyDescent="0.3">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28.8" x14ac:dyDescent="0.3">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28.8" x14ac:dyDescent="0.3">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28.8" x14ac:dyDescent="0.3">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28.8" x14ac:dyDescent="0.3">
      <c r="B43" s="574" t="s">
        <v>188</v>
      </c>
      <c r="C43" s="184" t="s">
        <v>1584</v>
      </c>
      <c r="D43" s="184">
        <f>'10.1'!B1</f>
        <v>0</v>
      </c>
      <c r="E43" s="499" t="s">
        <v>1660</v>
      </c>
      <c r="F43" s="185">
        <v>0</v>
      </c>
      <c r="G43" s="185">
        <v>0</v>
      </c>
      <c r="H43" s="185">
        <v>0</v>
      </c>
      <c r="I43" s="185">
        <v>0</v>
      </c>
      <c r="J43" s="177" t="s">
        <v>1537</v>
      </c>
      <c r="K43" s="502">
        <v>36</v>
      </c>
      <c r="L43" s="177" t="s">
        <v>1543</v>
      </c>
      <c r="M43" s="177" t="s">
        <v>1544</v>
      </c>
      <c r="N43" s="177" t="s">
        <v>1544</v>
      </c>
      <c r="O43" s="184" t="s">
        <v>1659</v>
      </c>
      <c r="P43" s="184"/>
    </row>
    <row r="44" spans="2:16" ht="28.8" x14ac:dyDescent="0.3">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57.6" x14ac:dyDescent="0.3">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28.8" x14ac:dyDescent="0.3">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28.8" x14ac:dyDescent="0.3">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B37" zoomScaleNormal="100" workbookViewId="0">
      <selection activeCell="C21" sqref="C21"/>
    </sheetView>
  </sheetViews>
  <sheetFormatPr defaultColWidth="9.109375" defaultRowHeight="14.4" x14ac:dyDescent="0.3"/>
  <cols>
    <col min="1" max="1" width="8.6640625" style="10" customWidth="1"/>
    <col min="2" max="2" width="47.109375" style="10" customWidth="1"/>
    <col min="3" max="3" width="40.6640625" style="12" customWidth="1"/>
    <col min="4" max="4" width="10.6640625" style="10" customWidth="1"/>
    <col min="5" max="16384" width="9.109375" style="10"/>
  </cols>
  <sheetData>
    <row r="1" spans="1:5" ht="90" customHeight="1" x14ac:dyDescent="0.3">
      <c r="C1" s="733" t="s">
        <v>1710</v>
      </c>
      <c r="D1" s="733"/>
    </row>
    <row r="2" spans="1:5" x14ac:dyDescent="0.3">
      <c r="C2" s="717"/>
      <c r="D2" s="717"/>
    </row>
    <row r="3" spans="1:5" customFormat="1" ht="15.6" x14ac:dyDescent="0.3">
      <c r="B3" s="734" t="s">
        <v>1689</v>
      </c>
      <c r="C3" s="734"/>
      <c r="D3" s="734"/>
    </row>
    <row r="5" spans="1:5" s="9" customFormat="1" ht="21" x14ac:dyDescent="0.4">
      <c r="A5" s="3" t="s">
        <v>688</v>
      </c>
      <c r="B5" s="39" t="s">
        <v>1647</v>
      </c>
      <c r="C5" s="4"/>
      <c r="E5" s="192"/>
    </row>
    <row r="6" spans="1:5" x14ac:dyDescent="0.3">
      <c r="A6"/>
      <c r="B6"/>
      <c r="C6" s="8"/>
    </row>
    <row r="7" spans="1:5" x14ac:dyDescent="0.3">
      <c r="A7" t="s">
        <v>689</v>
      </c>
      <c r="B7" s="5" t="s">
        <v>464</v>
      </c>
      <c r="C7" s="40" t="s">
        <v>1711</v>
      </c>
    </row>
    <row r="8" spans="1:5" x14ac:dyDescent="0.3">
      <c r="A8" t="s">
        <v>690</v>
      </c>
      <c r="B8" s="6" t="s">
        <v>1473</v>
      </c>
      <c r="C8" s="206" t="s">
        <v>1712</v>
      </c>
    </row>
    <row r="9" spans="1:5" x14ac:dyDescent="0.3">
      <c r="A9" t="s">
        <v>691</v>
      </c>
      <c r="B9" s="6" t="s">
        <v>470</v>
      </c>
      <c r="C9" s="206">
        <v>8</v>
      </c>
    </row>
    <row r="10" spans="1:5" x14ac:dyDescent="0.3">
      <c r="A10" t="s">
        <v>692</v>
      </c>
      <c r="B10" s="7" t="s">
        <v>469</v>
      </c>
      <c r="C10" s="207">
        <v>469</v>
      </c>
    </row>
    <row r="11" spans="1:5" ht="15" thickBot="1" x14ac:dyDescent="0.35">
      <c r="A11"/>
      <c r="B11"/>
      <c r="C11" s="8"/>
    </row>
    <row r="12" spans="1:5" x14ac:dyDescent="0.3">
      <c r="A12" t="s">
        <v>693</v>
      </c>
      <c r="B12" s="520" t="s">
        <v>471</v>
      </c>
      <c r="C12" s="521" t="s">
        <v>77</v>
      </c>
    </row>
    <row r="13" spans="1:5" x14ac:dyDescent="0.3">
      <c r="A13" t="s">
        <v>694</v>
      </c>
      <c r="B13" s="522" t="s">
        <v>465</v>
      </c>
      <c r="C13" s="523">
        <f>COUNTA('3'!$C$7:$C$26)</f>
        <v>5</v>
      </c>
    </row>
    <row r="14" spans="1:5" x14ac:dyDescent="0.3">
      <c r="A14" t="s">
        <v>695</v>
      </c>
      <c r="B14" s="522" t="s">
        <v>466</v>
      </c>
      <c r="C14" s="523">
        <f>COUNTIFS('5'!$D$8:$D$19,"taip")</f>
        <v>7</v>
      </c>
    </row>
    <row r="15" spans="1:5" x14ac:dyDescent="0.3">
      <c r="A15" t="s">
        <v>696</v>
      </c>
      <c r="B15" s="524" t="s">
        <v>214</v>
      </c>
      <c r="C15" s="525">
        <f>COUNTA('7'!$C$7:$C$26)</f>
        <v>10</v>
      </c>
    </row>
    <row r="16" spans="1:5" x14ac:dyDescent="0.3">
      <c r="A16"/>
      <c r="B16" s="526"/>
      <c r="C16" s="527"/>
    </row>
    <row r="17" spans="1:4" x14ac:dyDescent="0.3">
      <c r="A17" t="s">
        <v>697</v>
      </c>
      <c r="B17" s="280" t="s">
        <v>472</v>
      </c>
      <c r="C17" s="528" t="s">
        <v>1273</v>
      </c>
    </row>
    <row r="18" spans="1:4" ht="43.2" x14ac:dyDescent="0.3">
      <c r="A18" t="s">
        <v>698</v>
      </c>
      <c r="B18" s="529" t="str">
        <f>'6'!C8</f>
        <v>Žemės ūkio sektoriaus skaitmeninimas. Ūkių, pagal BŽŪP gaunančių paramą skaitmeninėms ūkininkavimo technologijoms plėtoti, skaičius</v>
      </c>
      <c r="C18" s="530">
        <f>'6'!D8</f>
        <v>2</v>
      </c>
    </row>
    <row r="19" spans="1:4" x14ac:dyDescent="0.3">
      <c r="A19" t="s">
        <v>699</v>
      </c>
      <c r="B19" s="380" t="s">
        <v>476</v>
      </c>
      <c r="C19" s="531">
        <f>C18/C32*100</f>
        <v>0.12254901960784313</v>
      </c>
    </row>
    <row r="20" spans="1:4" x14ac:dyDescent="0.3">
      <c r="A20"/>
      <c r="B20" s="526"/>
      <c r="C20" s="532"/>
    </row>
    <row r="21" spans="1:4" ht="43.2" x14ac:dyDescent="0.3">
      <c r="A21" t="s">
        <v>700</v>
      </c>
      <c r="B21" s="533" t="str">
        <f>'6'!C9</f>
        <v>Ekonomikos augimas ir darbo vietų kūrimas kaimo vietovėse. BŽŪP projektais remiamas naujų darbo vietų kūrimas</v>
      </c>
      <c r="C21" s="534">
        <f>'6'!D9</f>
        <v>9.5</v>
      </c>
    </row>
    <row r="22" spans="1:4" x14ac:dyDescent="0.3">
      <c r="A22"/>
      <c r="B22" s="526"/>
      <c r="C22" s="532"/>
    </row>
    <row r="23" spans="1:4" ht="43.2" x14ac:dyDescent="0.3">
      <c r="A23" t="s">
        <v>701</v>
      </c>
      <c r="B23" s="533" t="str">
        <f>'6'!C10</f>
        <v>Kaimo ekonomikos plėtojimas. Kaimo verslo įmonių, įskaitant bioekonomikos įmones, kuriamų naudojantis pagal BŽŪP skiriama parama, skaičius</v>
      </c>
      <c r="C23" s="534">
        <f>'6'!D10</f>
        <v>7</v>
      </c>
    </row>
    <row r="24" spans="1:4" x14ac:dyDescent="0.3">
      <c r="A24"/>
      <c r="B24" s="526"/>
      <c r="C24" s="532"/>
    </row>
    <row r="25" spans="1:4" ht="57.6" x14ac:dyDescent="0.3">
      <c r="A25" t="s">
        <v>702</v>
      </c>
      <c r="B25" s="529" t="str">
        <f>'6'!C11</f>
        <v>Europos kaimo tinklų kūrimas. Kaimo gyventojų, kuriems, naudojantis BŽŪP parama, sudarytos palankesnės sąlygos naudotis paslaugomis ir infrastruktūra, skaičius</v>
      </c>
      <c r="C25" s="535">
        <f>'6'!D11</f>
        <v>2200</v>
      </c>
    </row>
    <row r="26" spans="1:4" x14ac:dyDescent="0.3">
      <c r="A26" t="s">
        <v>703</v>
      </c>
      <c r="B26" s="380" t="s">
        <v>475</v>
      </c>
      <c r="C26" s="531">
        <f>C25/$C$33*100</f>
        <v>10.360254297150929</v>
      </c>
    </row>
    <row r="27" spans="1:4" x14ac:dyDescent="0.3">
      <c r="A27"/>
      <c r="B27" s="526"/>
      <c r="C27" s="532"/>
    </row>
    <row r="28" spans="1:4" ht="28.8" x14ac:dyDescent="0.3">
      <c r="A28" t="s">
        <v>704</v>
      </c>
      <c r="B28" s="529" t="str">
        <f>'6'!C12</f>
        <v>Socialinės įtraukties skatinimas. Asmenų, kuriems taikomi remiami socialinės įtraukties projektai, skaičius</v>
      </c>
      <c r="C28" s="535">
        <f>'6'!D12</f>
        <v>175</v>
      </c>
    </row>
    <row r="29" spans="1:4" x14ac:dyDescent="0.3">
      <c r="A29" t="s">
        <v>705</v>
      </c>
      <c r="B29" s="380" t="s">
        <v>475</v>
      </c>
      <c r="C29" s="531">
        <f>C28/$C$33*100</f>
        <v>0.82411113727336949</v>
      </c>
    </row>
    <row r="30" spans="1:4" x14ac:dyDescent="0.3">
      <c r="A30"/>
      <c r="B30" s="526"/>
      <c r="C30" s="527"/>
    </row>
    <row r="31" spans="1:4" x14ac:dyDescent="0.3">
      <c r="A31" t="s">
        <v>706</v>
      </c>
      <c r="B31" s="536" t="s">
        <v>477</v>
      </c>
      <c r="C31" s="537" t="s">
        <v>1643</v>
      </c>
      <c r="D31" s="519" t="s">
        <v>1292</v>
      </c>
    </row>
    <row r="32" spans="1:4" x14ac:dyDescent="0.3">
      <c r="A32" t="s">
        <v>707</v>
      </c>
      <c r="B32" s="538" t="s">
        <v>473</v>
      </c>
      <c r="C32" s="539">
        <v>1632</v>
      </c>
      <c r="D32" s="727">
        <v>2022</v>
      </c>
    </row>
    <row r="33" spans="1:4" ht="15" thickBot="1" x14ac:dyDescent="0.35">
      <c r="A33" t="s">
        <v>708</v>
      </c>
      <c r="B33" s="540" t="s">
        <v>474</v>
      </c>
      <c r="C33" s="541">
        <v>21235</v>
      </c>
      <c r="D33" s="207">
        <v>2021</v>
      </c>
    </row>
    <row r="35" spans="1:4" x14ac:dyDescent="0.3">
      <c r="C35" s="11"/>
    </row>
    <row r="36" spans="1:4" x14ac:dyDescent="0.3">
      <c r="A36"/>
      <c r="B36" s="601" t="s">
        <v>1477</v>
      </c>
    </row>
    <row r="37" spans="1:4" ht="43.2" x14ac:dyDescent="0.3">
      <c r="A37" s="1">
        <v>1</v>
      </c>
      <c r="B37" s="335" t="s">
        <v>1476</v>
      </c>
    </row>
    <row r="38" spans="1:4" ht="28.8" x14ac:dyDescent="0.3">
      <c r="A38" s="1">
        <v>2</v>
      </c>
      <c r="B38" s="335" t="s">
        <v>1475</v>
      </c>
    </row>
    <row r="39" spans="1:4" ht="43.2" x14ac:dyDescent="0.3">
      <c r="A39" s="1">
        <v>3</v>
      </c>
      <c r="B39" s="335" t="s">
        <v>1623</v>
      </c>
      <c r="C39" s="10"/>
    </row>
    <row r="40" spans="1:4" ht="43.2" x14ac:dyDescent="0.3">
      <c r="A40" s="13">
        <v>4</v>
      </c>
      <c r="B40" s="335" t="s">
        <v>1687</v>
      </c>
      <c r="C40" s="10"/>
    </row>
    <row r="41" spans="1:4" ht="100.8" x14ac:dyDescent="0.3">
      <c r="A41" s="14">
        <v>5</v>
      </c>
      <c r="B41" s="335" t="s">
        <v>1688</v>
      </c>
    </row>
  </sheetData>
  <sheetProtection algorithmName="SHA-512" hashValue="Fo2162JCTzNymvBCwR83AVEd5Yz1uzQFcpSRvQsJU0NOTtr5JKim1Q/xYM672jLAgKBgM4i17fIqVrN3LuwGVQ==" saltValue="t+hL3A+Un7K6cyDo2s55RQ=="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0"/>
  <sheetViews>
    <sheetView topLeftCell="B34" zoomScaleNormal="100" workbookViewId="0">
      <selection activeCell="C51" sqref="C51"/>
    </sheetView>
  </sheetViews>
  <sheetFormatPr defaultColWidth="9.109375" defaultRowHeight="14.4" x14ac:dyDescent="0.3"/>
  <cols>
    <col min="1" max="1" width="8.6640625" style="13" customWidth="1"/>
    <col min="2" max="2" width="10.6640625" style="13" customWidth="1"/>
    <col min="3" max="3" width="80.6640625" style="383" customWidth="1"/>
    <col min="4" max="4" width="20.6640625" style="386" customWidth="1"/>
    <col min="5" max="5" width="12.6640625" style="15" customWidth="1"/>
    <col min="6" max="25" width="15.6640625" style="13" customWidth="1"/>
    <col min="26" max="16384" width="9.109375" style="13"/>
  </cols>
  <sheetData>
    <row r="1" spans="1:25" s="38" customFormat="1" ht="18" x14ac:dyDescent="0.3">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3">
      <c r="C2" s="158"/>
      <c r="D2" s="158"/>
    </row>
    <row r="3" spans="1:25" x14ac:dyDescent="0.3">
      <c r="A3" s="1"/>
      <c r="B3" s="140" t="s">
        <v>1272</v>
      </c>
      <c r="C3" s="385" t="str">
        <f>'1'!C8</f>
        <v>TRAK</v>
      </c>
      <c r="D3" s="466"/>
      <c r="E3" s="18"/>
      <c r="F3" s="1"/>
      <c r="G3" s="1"/>
      <c r="H3" s="1"/>
      <c r="I3" s="1"/>
      <c r="J3" s="1"/>
      <c r="K3" s="1"/>
      <c r="L3" s="1"/>
      <c r="M3" s="1"/>
      <c r="N3" s="1"/>
      <c r="O3" s="1"/>
      <c r="P3" s="1"/>
      <c r="Q3" s="1"/>
      <c r="R3" s="1"/>
      <c r="S3" s="1"/>
      <c r="T3" s="1"/>
      <c r="U3" s="1"/>
      <c r="V3" s="1"/>
      <c r="W3" s="1"/>
      <c r="X3" s="1"/>
      <c r="Y3" s="1"/>
    </row>
    <row r="4" spans="1:25" customFormat="1" x14ac:dyDescent="0.3">
      <c r="C4" s="158"/>
      <c r="D4" s="158"/>
    </row>
    <row r="5" spans="1:25" s="16" customFormat="1" x14ac:dyDescent="0.3">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 thickBot="1" x14ac:dyDescent="0.35">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3">
      <c r="A7" s="1" t="s">
        <v>710</v>
      </c>
      <c r="B7" s="612"/>
      <c r="C7" s="613" t="s">
        <v>161</v>
      </c>
      <c r="D7" s="614" t="s">
        <v>254</v>
      </c>
      <c r="E7" s="615" t="s">
        <v>1595</v>
      </c>
      <c r="F7" s="132" t="str">
        <f>'3'!C7</f>
        <v>Pritaikyti  kraštovaizdį,  kultūros ir gamtos paveldą laisvalaikio, vaikų užimtumo, sveikatingumo, turizmo veikloms.</v>
      </c>
      <c r="G7" s="132" t="str">
        <f>'3'!C8</f>
        <v>Stiprinti smulkiuosius verslus, taikant  inovatyvius ir/ar tvarius sprendimus, diegiant skaitmenizavimą.</v>
      </c>
      <c r="H7" s="132" t="str">
        <f>'3'!C9</f>
        <v>Stiprinti jaunimo, kaimo bendruomenių, kitų nevyriausybinių organizacijų iniciatyvas, skatinant verslumą, savanorystę, tvarų vartojimą</v>
      </c>
      <c r="I7" s="132" t="str">
        <f>'3'!C10</f>
        <v>Skatinti bendradarbiavimą tarp sektorių, ūkio subjektų populiarinant savo kraštą.</v>
      </c>
      <c r="J7" s="132" t="str">
        <f>'3'!C11</f>
        <v>Gerinti paslaugų kokybę,  didinti prieinamumą  ir įvairovę visoms  amžiaus ir/ar  socialiai pažeidžiamoms gyventojų grupėms.</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x14ac:dyDescent="0.3">
      <c r="A8" s="1" t="s">
        <v>1216</v>
      </c>
      <c r="B8" s="543" t="s">
        <v>127</v>
      </c>
      <c r="C8" s="622" t="s">
        <v>1718</v>
      </c>
      <c r="D8" s="467" t="s">
        <v>1778</v>
      </c>
      <c r="E8" s="616">
        <f>COUNTIFS($F8:$Y8,"taip")</f>
        <v>4</v>
      </c>
      <c r="F8" s="134" t="s">
        <v>77</v>
      </c>
      <c r="G8" s="134" t="s">
        <v>77</v>
      </c>
      <c r="H8" s="134" t="s">
        <v>76</v>
      </c>
      <c r="I8" s="134" t="s">
        <v>77</v>
      </c>
      <c r="J8" s="134" t="s">
        <v>77</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x14ac:dyDescent="0.3">
      <c r="A9" s="1" t="s">
        <v>1217</v>
      </c>
      <c r="B9" s="543" t="s">
        <v>128</v>
      </c>
      <c r="C9" s="623" t="s">
        <v>1719</v>
      </c>
      <c r="D9" s="467" t="s">
        <v>1796</v>
      </c>
      <c r="E9" s="616">
        <f t="shared" ref="E9:E17" si="0">COUNTIFS($F9:$Y9,"taip")</f>
        <v>5</v>
      </c>
      <c r="F9" s="134" t="s">
        <v>77</v>
      </c>
      <c r="G9" s="134" t="s">
        <v>77</v>
      </c>
      <c r="H9" s="134" t="s">
        <v>77</v>
      </c>
      <c r="I9" s="134" t="s">
        <v>77</v>
      </c>
      <c r="J9" s="134" t="s">
        <v>77</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28.8" x14ac:dyDescent="0.3">
      <c r="A10" s="1" t="s">
        <v>1218</v>
      </c>
      <c r="B10" s="543" t="s">
        <v>129</v>
      </c>
      <c r="C10" s="623" t="s">
        <v>1713</v>
      </c>
      <c r="D10" s="467" t="s">
        <v>1777</v>
      </c>
      <c r="E10" s="616">
        <f t="shared" si="0"/>
        <v>4</v>
      </c>
      <c r="F10" s="134" t="s">
        <v>77</v>
      </c>
      <c r="G10" s="134" t="s">
        <v>76</v>
      </c>
      <c r="H10" s="134" t="s">
        <v>77</v>
      </c>
      <c r="I10" s="134" t="s">
        <v>77</v>
      </c>
      <c r="J10" s="134" t="s">
        <v>77</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x14ac:dyDescent="0.3">
      <c r="A11" s="1" t="s">
        <v>1219</v>
      </c>
      <c r="B11" s="543" t="s">
        <v>130</v>
      </c>
      <c r="C11" s="623" t="s">
        <v>1720</v>
      </c>
      <c r="D11" s="467" t="s">
        <v>1797</v>
      </c>
      <c r="E11" s="616">
        <f t="shared" si="0"/>
        <v>5</v>
      </c>
      <c r="F11" s="134" t="s">
        <v>77</v>
      </c>
      <c r="G11" s="134" t="s">
        <v>77</v>
      </c>
      <c r="H11" s="134" t="s">
        <v>77</v>
      </c>
      <c r="I11" s="134" t="s">
        <v>77</v>
      </c>
      <c r="J11" s="134" t="s">
        <v>77</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x14ac:dyDescent="0.3">
      <c r="A12" s="1" t="s">
        <v>1220</v>
      </c>
      <c r="B12" s="543" t="s">
        <v>131</v>
      </c>
      <c r="C12" s="623" t="s">
        <v>1721</v>
      </c>
      <c r="D12" s="467" t="s">
        <v>1798</v>
      </c>
      <c r="E12" s="616">
        <f t="shared" si="0"/>
        <v>4</v>
      </c>
      <c r="F12" s="134" t="s">
        <v>77</v>
      </c>
      <c r="G12" s="134" t="s">
        <v>77</v>
      </c>
      <c r="H12" s="134" t="s">
        <v>77</v>
      </c>
      <c r="I12" s="134" t="s">
        <v>76</v>
      </c>
      <c r="J12" s="134" t="s">
        <v>77</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x14ac:dyDescent="0.3">
      <c r="A13" s="1" t="s">
        <v>1221</v>
      </c>
      <c r="B13" s="543" t="s">
        <v>132</v>
      </c>
      <c r="C13" s="623" t="s">
        <v>1717</v>
      </c>
      <c r="D13" s="467" t="s">
        <v>1799</v>
      </c>
      <c r="E13" s="616">
        <f t="shared" si="0"/>
        <v>3</v>
      </c>
      <c r="F13" s="134" t="s">
        <v>76</v>
      </c>
      <c r="G13" s="134" t="s">
        <v>77</v>
      </c>
      <c r="H13" s="134" t="s">
        <v>77</v>
      </c>
      <c r="I13" s="134" t="s">
        <v>77</v>
      </c>
      <c r="J13" s="134" t="s">
        <v>76</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3">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3">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3">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3">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3.2" x14ac:dyDescent="0.3">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x14ac:dyDescent="0.3">
      <c r="A19" s="1" t="s">
        <v>1226</v>
      </c>
      <c r="B19" s="543" t="s">
        <v>127</v>
      </c>
      <c r="C19" s="623" t="s">
        <v>1714</v>
      </c>
      <c r="D19" s="467" t="s">
        <v>1800</v>
      </c>
      <c r="E19" s="616">
        <f>COUNTIFS($F19:$Y19,"taip")</f>
        <v>4</v>
      </c>
      <c r="F19" s="134" t="s">
        <v>77</v>
      </c>
      <c r="G19" s="134" t="s">
        <v>76</v>
      </c>
      <c r="H19" s="134" t="s">
        <v>77</v>
      </c>
      <c r="I19" s="134" t="s">
        <v>77</v>
      </c>
      <c r="J19" s="134" t="s">
        <v>77</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28.8" x14ac:dyDescent="0.3">
      <c r="A20" s="1" t="s">
        <v>1227</v>
      </c>
      <c r="B20" s="543" t="s">
        <v>128</v>
      </c>
      <c r="C20" s="623" t="s">
        <v>1715</v>
      </c>
      <c r="D20" s="467" t="s">
        <v>1776</v>
      </c>
      <c r="E20" s="616">
        <f t="shared" ref="E20:E28" si="1">COUNTIFS($F20:$Y20,"taip")</f>
        <v>1</v>
      </c>
      <c r="F20" s="134" t="s">
        <v>76</v>
      </c>
      <c r="G20" s="134" t="s">
        <v>76</v>
      </c>
      <c r="H20" s="134" t="s">
        <v>77</v>
      </c>
      <c r="I20" s="134" t="s">
        <v>76</v>
      </c>
      <c r="J20" s="134" t="s">
        <v>76</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x14ac:dyDescent="0.3">
      <c r="A21" s="1" t="s">
        <v>1228</v>
      </c>
      <c r="B21" s="543" t="s">
        <v>129</v>
      </c>
      <c r="C21" s="623" t="s">
        <v>1716</v>
      </c>
      <c r="D21" s="467" t="s">
        <v>1801</v>
      </c>
      <c r="E21" s="616">
        <f t="shared" si="1"/>
        <v>3</v>
      </c>
      <c r="F21" s="134" t="s">
        <v>76</v>
      </c>
      <c r="G21" s="134" t="s">
        <v>77</v>
      </c>
      <c r="H21" s="134" t="s">
        <v>76</v>
      </c>
      <c r="I21" s="134" t="s">
        <v>77</v>
      </c>
      <c r="J21" s="134" t="s">
        <v>77</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x14ac:dyDescent="0.3">
      <c r="A22" s="1" t="s">
        <v>1229</v>
      </c>
      <c r="B22" s="543" t="s">
        <v>130</v>
      </c>
      <c r="C22" s="623" t="s">
        <v>1724</v>
      </c>
      <c r="D22" s="467" t="s">
        <v>1802</v>
      </c>
      <c r="E22" s="616">
        <f t="shared" si="1"/>
        <v>3</v>
      </c>
      <c r="F22" s="134" t="s">
        <v>77</v>
      </c>
      <c r="G22" s="134" t="s">
        <v>76</v>
      </c>
      <c r="H22" s="134" t="s">
        <v>77</v>
      </c>
      <c r="I22" s="134" t="s">
        <v>76</v>
      </c>
      <c r="J22" s="134" t="s">
        <v>77</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x14ac:dyDescent="0.3">
      <c r="A23" s="1" t="s">
        <v>1230</v>
      </c>
      <c r="B23" s="543" t="s">
        <v>131</v>
      </c>
      <c r="C23" s="623" t="s">
        <v>1723</v>
      </c>
      <c r="D23" s="467" t="s">
        <v>1803</v>
      </c>
      <c r="E23" s="616">
        <f t="shared" si="1"/>
        <v>2</v>
      </c>
      <c r="F23" s="134" t="s">
        <v>77</v>
      </c>
      <c r="G23" s="134" t="s">
        <v>76</v>
      </c>
      <c r="H23" s="134" t="s">
        <v>76</v>
      </c>
      <c r="I23" s="134" t="s">
        <v>77</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x14ac:dyDescent="0.3">
      <c r="A24" s="1" t="s">
        <v>1231</v>
      </c>
      <c r="B24" s="543" t="s">
        <v>132</v>
      </c>
      <c r="C24" s="623" t="s">
        <v>1722</v>
      </c>
      <c r="D24" s="467" t="s">
        <v>1814</v>
      </c>
      <c r="E24" s="616">
        <f t="shared" si="1"/>
        <v>4</v>
      </c>
      <c r="F24" s="134" t="s">
        <v>77</v>
      </c>
      <c r="G24" s="134" t="s">
        <v>76</v>
      </c>
      <c r="H24" s="134" t="s">
        <v>77</v>
      </c>
      <c r="I24" s="134" t="s">
        <v>77</v>
      </c>
      <c r="J24" s="134" t="s">
        <v>77</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x14ac:dyDescent="0.3">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3">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3">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3">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3.2" x14ac:dyDescent="0.3">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28.8" x14ac:dyDescent="0.3">
      <c r="A30" s="1" t="s">
        <v>1236</v>
      </c>
      <c r="B30" s="543" t="s">
        <v>127</v>
      </c>
      <c r="C30" s="623" t="s">
        <v>1725</v>
      </c>
      <c r="D30" s="467" t="s">
        <v>1804</v>
      </c>
      <c r="E30" s="616">
        <f>COUNTIFS($F30:$Y30,"taip")</f>
        <v>3</v>
      </c>
      <c r="F30" s="134" t="s">
        <v>76</v>
      </c>
      <c r="G30" s="134" t="s">
        <v>76</v>
      </c>
      <c r="H30" s="134" t="s">
        <v>77</v>
      </c>
      <c r="I30" s="134" t="s">
        <v>77</v>
      </c>
      <c r="J30" s="134" t="s">
        <v>77</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x14ac:dyDescent="0.3">
      <c r="A31" s="1" t="s">
        <v>1237</v>
      </c>
      <c r="B31" s="543" t="s">
        <v>128</v>
      </c>
      <c r="C31" s="623" t="s">
        <v>1729</v>
      </c>
      <c r="D31" s="467" t="s">
        <v>1805</v>
      </c>
      <c r="E31" s="616">
        <f t="shared" ref="E31:E39" si="2">COUNTIFS($F31:$Y31,"taip")</f>
        <v>4</v>
      </c>
      <c r="F31" s="134" t="s">
        <v>77</v>
      </c>
      <c r="G31" s="134" t="s">
        <v>76</v>
      </c>
      <c r="H31" s="134" t="s">
        <v>77</v>
      </c>
      <c r="I31" s="134" t="s">
        <v>77</v>
      </c>
      <c r="J31" s="134" t="s">
        <v>77</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x14ac:dyDescent="0.3">
      <c r="A32" s="1" t="s">
        <v>1238</v>
      </c>
      <c r="B32" s="543" t="s">
        <v>129</v>
      </c>
      <c r="C32" s="623" t="s">
        <v>1726</v>
      </c>
      <c r="D32" s="467" t="s">
        <v>1806</v>
      </c>
      <c r="E32" s="616">
        <f t="shared" si="2"/>
        <v>3</v>
      </c>
      <c r="F32" s="134" t="s">
        <v>77</v>
      </c>
      <c r="G32" s="134" t="s">
        <v>77</v>
      </c>
      <c r="H32" s="134" t="s">
        <v>76</v>
      </c>
      <c r="I32" s="134" t="s">
        <v>76</v>
      </c>
      <c r="J32" s="134" t="s">
        <v>77</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x14ac:dyDescent="0.3">
      <c r="A33" s="1" t="s">
        <v>1239</v>
      </c>
      <c r="B33" s="543" t="s">
        <v>130</v>
      </c>
      <c r="C33" s="623" t="s">
        <v>1754</v>
      </c>
      <c r="D33" s="467" t="s">
        <v>1807</v>
      </c>
      <c r="E33" s="616">
        <f t="shared" si="2"/>
        <v>4</v>
      </c>
      <c r="F33" s="134" t="s">
        <v>77</v>
      </c>
      <c r="G33" s="134" t="s">
        <v>77</v>
      </c>
      <c r="H33" s="134" t="s">
        <v>77</v>
      </c>
      <c r="I33" s="134" t="s">
        <v>77</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x14ac:dyDescent="0.3">
      <c r="A34" s="1" t="s">
        <v>1240</v>
      </c>
      <c r="B34" s="543" t="s">
        <v>131</v>
      </c>
      <c r="C34" s="623" t="s">
        <v>1727</v>
      </c>
      <c r="D34" s="467" t="s">
        <v>1808</v>
      </c>
      <c r="E34" s="616">
        <f t="shared" si="2"/>
        <v>4</v>
      </c>
      <c r="F34" s="134" t="s">
        <v>77</v>
      </c>
      <c r="G34" s="134" t="s">
        <v>77</v>
      </c>
      <c r="H34" s="134" t="s">
        <v>77</v>
      </c>
      <c r="I34" s="134" t="s">
        <v>76</v>
      </c>
      <c r="J34" s="134" t="s">
        <v>77</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x14ac:dyDescent="0.3">
      <c r="A35" s="1" t="s">
        <v>1241</v>
      </c>
      <c r="B35" s="543" t="s">
        <v>132</v>
      </c>
      <c r="C35" s="623" t="s">
        <v>1728</v>
      </c>
      <c r="D35" s="467" t="s">
        <v>1809</v>
      </c>
      <c r="E35" s="616">
        <f t="shared" si="2"/>
        <v>4</v>
      </c>
      <c r="F35" s="134" t="s">
        <v>76</v>
      </c>
      <c r="G35" s="134" t="s">
        <v>77</v>
      </c>
      <c r="H35" s="134" t="s">
        <v>77</v>
      </c>
      <c r="I35" s="134" t="s">
        <v>77</v>
      </c>
      <c r="J35" s="134" t="s">
        <v>77</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x14ac:dyDescent="0.3">
      <c r="A36" s="1" t="s">
        <v>1242</v>
      </c>
      <c r="B36" s="543" t="s">
        <v>133</v>
      </c>
      <c r="C36" s="623"/>
      <c r="D36" s="467"/>
      <c r="E36" s="616">
        <f t="shared" si="2"/>
        <v>0</v>
      </c>
      <c r="F36" s="134" t="s">
        <v>76</v>
      </c>
      <c r="G36" s="134" t="s">
        <v>76</v>
      </c>
      <c r="H36" s="134" t="s">
        <v>76</v>
      </c>
      <c r="I36" s="134" t="s">
        <v>76</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3">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3">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3">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3.2" x14ac:dyDescent="0.3">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x14ac:dyDescent="0.3">
      <c r="A41" s="1" t="s">
        <v>1246</v>
      </c>
      <c r="B41" s="617" t="s">
        <v>127</v>
      </c>
      <c r="C41" s="622" t="s">
        <v>1732</v>
      </c>
      <c r="D41" s="468" t="s">
        <v>1811</v>
      </c>
      <c r="E41" s="618">
        <f>COUNTIFS($F41:$Y41,"taip")</f>
        <v>0</v>
      </c>
      <c r="F41" s="134" t="s">
        <v>76</v>
      </c>
      <c r="G41" s="134" t="s">
        <v>76</v>
      </c>
      <c r="H41" s="134" t="s">
        <v>76</v>
      </c>
      <c r="I41" s="134" t="s">
        <v>76</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x14ac:dyDescent="0.3">
      <c r="A42" s="1" t="s">
        <v>1247</v>
      </c>
      <c r="B42" s="543" t="s">
        <v>128</v>
      </c>
      <c r="C42" s="623" t="s">
        <v>1734</v>
      </c>
      <c r="D42" s="467" t="s">
        <v>1812</v>
      </c>
      <c r="E42" s="616">
        <f t="shared" ref="E42:E50" si="3">COUNTIFS($F42:$Y42,"taip")</f>
        <v>2</v>
      </c>
      <c r="F42" s="134" t="s">
        <v>77</v>
      </c>
      <c r="G42" s="134" t="s">
        <v>76</v>
      </c>
      <c r="H42" s="134" t="s">
        <v>77</v>
      </c>
      <c r="I42" s="134" t="s">
        <v>76</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28.8" x14ac:dyDescent="0.3">
      <c r="A43" s="1" t="s">
        <v>1248</v>
      </c>
      <c r="B43" s="543" t="s">
        <v>129</v>
      </c>
      <c r="C43" s="623" t="s">
        <v>1815</v>
      </c>
      <c r="D43" s="467" t="s">
        <v>1816</v>
      </c>
      <c r="E43" s="616">
        <f t="shared" si="3"/>
        <v>1</v>
      </c>
      <c r="F43" s="134" t="s">
        <v>76</v>
      </c>
      <c r="G43" s="134" t="s">
        <v>77</v>
      </c>
      <c r="H43" s="134" t="s">
        <v>76</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x14ac:dyDescent="0.3">
      <c r="A44" s="1" t="s">
        <v>1249</v>
      </c>
      <c r="B44" s="543" t="s">
        <v>130</v>
      </c>
      <c r="C44" s="623" t="s">
        <v>1730</v>
      </c>
      <c r="D44" s="467" t="s">
        <v>1813</v>
      </c>
      <c r="E44" s="616">
        <f t="shared" si="3"/>
        <v>1</v>
      </c>
      <c r="F44" s="134" t="s">
        <v>76</v>
      </c>
      <c r="G44" s="134" t="s">
        <v>77</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x14ac:dyDescent="0.3">
      <c r="A45" s="1" t="s">
        <v>1250</v>
      </c>
      <c r="B45" s="543" t="s">
        <v>131</v>
      </c>
      <c r="C45" s="623" t="s">
        <v>1733</v>
      </c>
      <c r="D45" s="467" t="s">
        <v>1817</v>
      </c>
      <c r="E45" s="616">
        <f t="shared" si="3"/>
        <v>0</v>
      </c>
      <c r="F45" s="134" t="s">
        <v>76</v>
      </c>
      <c r="G45" s="134" t="s">
        <v>76</v>
      </c>
      <c r="H45" s="134" t="s">
        <v>76</v>
      </c>
      <c r="I45" s="134" t="s">
        <v>76</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x14ac:dyDescent="0.3">
      <c r="A46" s="1" t="s">
        <v>1251</v>
      </c>
      <c r="B46" s="543" t="s">
        <v>132</v>
      </c>
      <c r="C46" s="623" t="s">
        <v>1731</v>
      </c>
      <c r="D46" s="467" t="s">
        <v>1810</v>
      </c>
      <c r="E46" s="616">
        <f t="shared" si="3"/>
        <v>0</v>
      </c>
      <c r="F46" s="134" t="s">
        <v>76</v>
      </c>
      <c r="G46" s="134" t="s">
        <v>76</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x14ac:dyDescent="0.3">
      <c r="A47" s="1" t="s">
        <v>1252</v>
      </c>
      <c r="B47" s="543" t="s">
        <v>133</v>
      </c>
      <c r="C47" s="623"/>
      <c r="D47" s="467"/>
      <c r="E47" s="616">
        <f t="shared" si="3"/>
        <v>0</v>
      </c>
      <c r="F47" s="134" t="s">
        <v>76</v>
      </c>
      <c r="G47" s="134" t="s">
        <v>76</v>
      </c>
      <c r="H47" s="134" t="s">
        <v>76</v>
      </c>
      <c r="I47" s="134" t="s">
        <v>76</v>
      </c>
      <c r="J47" s="134" t="s">
        <v>76</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3">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3">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 thickBot="1" x14ac:dyDescent="0.35">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1" spans="1:25" ht="129.6" x14ac:dyDescent="0.3">
      <c r="B51" s="13" t="s">
        <v>1818</v>
      </c>
      <c r="C51" s="383" t="s">
        <v>1819</v>
      </c>
    </row>
    <row r="52" spans="1:25" x14ac:dyDescent="0.3">
      <c r="E52" s="13"/>
    </row>
    <row r="53" spans="1:25" x14ac:dyDescent="0.3">
      <c r="B53" s="1"/>
      <c r="C53" s="602" t="s">
        <v>1474</v>
      </c>
      <c r="E53" s="13"/>
    </row>
    <row r="54" spans="1:25" x14ac:dyDescent="0.3">
      <c r="B54" s="1">
        <v>1</v>
      </c>
      <c r="C54" s="388" t="s">
        <v>1624</v>
      </c>
      <c r="E54" s="13"/>
    </row>
    <row r="55" spans="1:25" ht="43.2" x14ac:dyDescent="0.3">
      <c r="B55" s="1">
        <v>2</v>
      </c>
      <c r="C55" s="312" t="s">
        <v>1479</v>
      </c>
      <c r="E55" s="13"/>
    </row>
    <row r="56" spans="1:25" x14ac:dyDescent="0.3">
      <c r="B56" s="1">
        <v>3</v>
      </c>
      <c r="C56" s="312" t="s">
        <v>1326</v>
      </c>
      <c r="E56" s="13"/>
    </row>
    <row r="57" spans="1:25" ht="28.8" x14ac:dyDescent="0.3">
      <c r="B57" s="1">
        <v>4</v>
      </c>
      <c r="C57" s="312" t="s">
        <v>1327</v>
      </c>
      <c r="E57" s="13"/>
    </row>
    <row r="58" spans="1:25" ht="28.8" x14ac:dyDescent="0.3">
      <c r="B58" s="1">
        <v>5</v>
      </c>
      <c r="C58" s="312" t="s">
        <v>1328</v>
      </c>
    </row>
    <row r="59" spans="1:25" ht="86.4" x14ac:dyDescent="0.3">
      <c r="B59" s="1">
        <v>6</v>
      </c>
      <c r="C59" s="312" t="s">
        <v>1478</v>
      </c>
      <c r="D59" s="156"/>
      <c r="E59" s="17"/>
    </row>
    <row r="60" spans="1:25" ht="115.2" x14ac:dyDescent="0.3">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xr:uid="{00000000-0002-0000-0200-000000000000}">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zoomScaleNormal="100" workbookViewId="0">
      <selection activeCell="C11" sqref="C11"/>
    </sheetView>
  </sheetViews>
  <sheetFormatPr defaultColWidth="9.109375" defaultRowHeight="14.4" x14ac:dyDescent="0.3"/>
  <cols>
    <col min="1" max="1" width="8.6640625" style="13" customWidth="1"/>
    <col min="2" max="2" width="10.6640625" style="13" customWidth="1"/>
    <col min="3" max="3" width="75.6640625" style="13" customWidth="1"/>
    <col min="4" max="16384" width="9.109375" style="13"/>
  </cols>
  <sheetData>
    <row r="1" spans="1:5" s="38" customFormat="1" ht="18" x14ac:dyDescent="0.3">
      <c r="A1" s="36" t="s">
        <v>11</v>
      </c>
      <c r="B1" s="36" t="s">
        <v>399</v>
      </c>
      <c r="C1" s="36"/>
    </row>
    <row r="2" spans="1:5" x14ac:dyDescent="0.3">
      <c r="A2" s="1"/>
      <c r="B2" s="1"/>
      <c r="C2" s="1"/>
    </row>
    <row r="3" spans="1:5" x14ac:dyDescent="0.3">
      <c r="A3" s="1"/>
      <c r="B3" s="140" t="s">
        <v>1272</v>
      </c>
      <c r="C3" s="205" t="str">
        <f>'1'!C8</f>
        <v>TRAK</v>
      </c>
    </row>
    <row r="4" spans="1:5" customFormat="1" ht="15" thickBot="1" x14ac:dyDescent="0.35"/>
    <row r="5" spans="1:5" x14ac:dyDescent="0.3">
      <c r="A5" s="1"/>
      <c r="B5" s="318">
        <v>1</v>
      </c>
      <c r="C5" s="321">
        <v>2</v>
      </c>
    </row>
    <row r="6" spans="1:5" ht="28.8" x14ac:dyDescent="0.3">
      <c r="A6" s="1"/>
      <c r="B6" s="362" t="s">
        <v>75</v>
      </c>
      <c r="C6" s="542" t="s">
        <v>26</v>
      </c>
      <c r="E6" s="138"/>
    </row>
    <row r="7" spans="1:5" ht="28.8" x14ac:dyDescent="0.3">
      <c r="A7" s="1" t="s">
        <v>12</v>
      </c>
      <c r="B7" s="543" t="s">
        <v>55</v>
      </c>
      <c r="C7" s="544" t="s">
        <v>1735</v>
      </c>
      <c r="E7" s="43"/>
    </row>
    <row r="8" spans="1:5" ht="28.8" x14ac:dyDescent="0.3">
      <c r="A8" s="1" t="s">
        <v>13</v>
      </c>
      <c r="B8" s="543" t="s">
        <v>56</v>
      </c>
      <c r="C8" s="544" t="s">
        <v>1738</v>
      </c>
      <c r="E8" s="43"/>
    </row>
    <row r="9" spans="1:5" ht="28.8" x14ac:dyDescent="0.3">
      <c r="A9" s="1" t="s">
        <v>14</v>
      </c>
      <c r="B9" s="543" t="s">
        <v>57</v>
      </c>
      <c r="C9" s="544" t="s">
        <v>1736</v>
      </c>
      <c r="E9" s="43"/>
    </row>
    <row r="10" spans="1:5" x14ac:dyDescent="0.3">
      <c r="A10" s="1" t="s">
        <v>165</v>
      </c>
      <c r="B10" s="543" t="s">
        <v>58</v>
      </c>
      <c r="C10" s="544" t="s">
        <v>1737</v>
      </c>
      <c r="E10" s="43"/>
    </row>
    <row r="11" spans="1:5" ht="28.8" x14ac:dyDescent="0.3">
      <c r="A11" s="1" t="s">
        <v>1200</v>
      </c>
      <c r="B11" s="543" t="s">
        <v>59</v>
      </c>
      <c r="C11" s="544" t="s">
        <v>1755</v>
      </c>
      <c r="E11" s="43"/>
    </row>
    <row r="12" spans="1:5" x14ac:dyDescent="0.3">
      <c r="A12" s="1" t="s">
        <v>1201</v>
      </c>
      <c r="B12" s="543" t="s">
        <v>60</v>
      </c>
      <c r="C12" s="544"/>
      <c r="E12" s="43"/>
    </row>
    <row r="13" spans="1:5" x14ac:dyDescent="0.3">
      <c r="A13" s="1" t="s">
        <v>1202</v>
      </c>
      <c r="B13" s="543" t="s">
        <v>61</v>
      </c>
      <c r="C13" s="544"/>
      <c r="E13" s="43"/>
    </row>
    <row r="14" spans="1:5" x14ac:dyDescent="0.3">
      <c r="A14" s="1" t="s">
        <v>1203</v>
      </c>
      <c r="B14" s="543" t="s">
        <v>62</v>
      </c>
      <c r="C14" s="544"/>
      <c r="E14" s="43"/>
    </row>
    <row r="15" spans="1:5" x14ac:dyDescent="0.3">
      <c r="A15" s="1" t="s">
        <v>1204</v>
      </c>
      <c r="B15" s="543" t="s">
        <v>63</v>
      </c>
      <c r="C15" s="544"/>
      <c r="E15" s="43"/>
    </row>
    <row r="16" spans="1:5" x14ac:dyDescent="0.3">
      <c r="A16" s="1" t="s">
        <v>1205</v>
      </c>
      <c r="B16" s="543" t="s">
        <v>64</v>
      </c>
      <c r="C16" s="544"/>
      <c r="E16" s="43"/>
    </row>
    <row r="17" spans="1:3" x14ac:dyDescent="0.3">
      <c r="A17" s="1" t="s">
        <v>1206</v>
      </c>
      <c r="B17" s="543" t="s">
        <v>65</v>
      </c>
      <c r="C17" s="544"/>
    </row>
    <row r="18" spans="1:3" x14ac:dyDescent="0.3">
      <c r="A18" s="1" t="s">
        <v>1207</v>
      </c>
      <c r="B18" s="543" t="s">
        <v>66</v>
      </c>
      <c r="C18" s="544"/>
    </row>
    <row r="19" spans="1:3" x14ac:dyDescent="0.3">
      <c r="A19" s="1" t="s">
        <v>1208</v>
      </c>
      <c r="B19" s="543" t="s">
        <v>67</v>
      </c>
      <c r="C19" s="544"/>
    </row>
    <row r="20" spans="1:3" x14ac:dyDescent="0.3">
      <c r="A20" s="1" t="s">
        <v>1209</v>
      </c>
      <c r="B20" s="543" t="s">
        <v>68</v>
      </c>
      <c r="C20" s="544"/>
    </row>
    <row r="21" spans="1:3" x14ac:dyDescent="0.3">
      <c r="A21" s="1" t="s">
        <v>1210</v>
      </c>
      <c r="B21" s="543" t="s">
        <v>69</v>
      </c>
      <c r="C21" s="544"/>
    </row>
    <row r="22" spans="1:3" x14ac:dyDescent="0.3">
      <c r="A22" s="1" t="s">
        <v>1211</v>
      </c>
      <c r="B22" s="543" t="s">
        <v>70</v>
      </c>
      <c r="C22" s="544"/>
    </row>
    <row r="23" spans="1:3" x14ac:dyDescent="0.3">
      <c r="A23" s="1" t="s">
        <v>1212</v>
      </c>
      <c r="B23" s="543" t="s">
        <v>71</v>
      </c>
      <c r="C23" s="544"/>
    </row>
    <row r="24" spans="1:3" x14ac:dyDescent="0.3">
      <c r="A24" s="1" t="s">
        <v>1213</v>
      </c>
      <c r="B24" s="543" t="s">
        <v>72</v>
      </c>
      <c r="C24" s="544"/>
    </row>
    <row r="25" spans="1:3" x14ac:dyDescent="0.3">
      <c r="A25" s="1" t="s">
        <v>1214</v>
      </c>
      <c r="B25" s="543" t="s">
        <v>73</v>
      </c>
      <c r="C25" s="544"/>
    </row>
    <row r="26" spans="1:3" ht="15" thickBot="1" x14ac:dyDescent="0.35">
      <c r="A26" s="1" t="s">
        <v>1215</v>
      </c>
      <c r="B26" s="545" t="s">
        <v>74</v>
      </c>
      <c r="C26" s="546"/>
    </row>
    <row r="29" spans="1:3" x14ac:dyDescent="0.3">
      <c r="B29" s="1"/>
      <c r="C29" s="360" t="s">
        <v>1480</v>
      </c>
    </row>
    <row r="30" spans="1:3" ht="28.8" x14ac:dyDescent="0.3">
      <c r="B30" s="1">
        <v>1</v>
      </c>
      <c r="C30" s="335" t="s">
        <v>1484</v>
      </c>
    </row>
    <row r="31" spans="1:3" ht="43.2" x14ac:dyDescent="0.3">
      <c r="B31" s="1">
        <v>2</v>
      </c>
      <c r="C31" s="335" t="s">
        <v>1483</v>
      </c>
    </row>
    <row r="32" spans="1:3" ht="28.8" x14ac:dyDescent="0.3">
      <c r="B32" s="1">
        <v>3</v>
      </c>
      <c r="C32" s="335" t="s">
        <v>1485</v>
      </c>
    </row>
    <row r="33" spans="2:3" ht="144" x14ac:dyDescent="0.3">
      <c r="B33" s="1">
        <v>4</v>
      </c>
      <c r="C33" s="335" t="s">
        <v>1599</v>
      </c>
    </row>
    <row r="34" spans="2:3" ht="28.8" x14ac:dyDescent="0.3">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xr:uid="{00000000-0002-0000-0300-000000000000}">
      <formula1>0</formula1>
      <formula2>150</formula2>
    </dataValidation>
  </dataValidations>
  <pageMargins left="0.7" right="0.7" top="0.75" bottom="0.75" header="0.3" footer="0.3"/>
  <pageSetup paperSize="9" scale="91"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X30"/>
  <sheetViews>
    <sheetView zoomScaleNormal="100" workbookViewId="0">
      <pane xSplit="3" ySplit="7" topLeftCell="D20" activePane="bottomRight" state="frozen"/>
      <selection pane="topRight"/>
      <selection pane="bottomLeft"/>
      <selection pane="bottomRight" activeCell="H12" sqref="H12"/>
    </sheetView>
  </sheetViews>
  <sheetFormatPr defaultColWidth="6.6640625" defaultRowHeight="14.4" x14ac:dyDescent="0.3"/>
  <cols>
    <col min="1" max="1" width="8.6640625" style="2" customWidth="1"/>
    <col min="2" max="3" width="50.6640625" style="1" customWidth="1"/>
    <col min="4" max="4" width="50.6640625" style="41" customWidth="1"/>
    <col min="5" max="14" width="50.5546875" style="2" customWidth="1"/>
    <col min="15" max="24" width="50.6640625" style="2" customWidth="1"/>
    <col min="25" max="16384" width="6.6640625" style="1"/>
  </cols>
  <sheetData>
    <row r="1" spans="1:24" s="42" customFormat="1" ht="18" x14ac:dyDescent="0.3">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3">
      <c r="A3" s="1"/>
      <c r="B3" s="140" t="s">
        <v>1272</v>
      </c>
      <c r="C3" s="140"/>
      <c r="D3" s="205" t="str">
        <f>'1'!C8</f>
        <v>TRAK</v>
      </c>
    </row>
    <row r="4" spans="1:24" customFormat="1" x14ac:dyDescent="0.3">
      <c r="D4" s="41"/>
    </row>
    <row r="5" spans="1:24" x14ac:dyDescent="0.3">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57.6" x14ac:dyDescent="0.3">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3.2" x14ac:dyDescent="0.3">
      <c r="A7" s="2" t="s">
        <v>16</v>
      </c>
      <c r="B7" s="124" t="s">
        <v>26</v>
      </c>
      <c r="C7" s="469" t="s">
        <v>1297</v>
      </c>
      <c r="D7" s="141" t="str">
        <f>'2'!F7</f>
        <v>Pritaikyti  kraštovaizdį,  kultūros ir gamtos paveldą laisvalaikio, vaikų užimtumo, sveikatingumo, turizmo veikloms.</v>
      </c>
      <c r="E7" s="141" t="str">
        <f>'2'!G7</f>
        <v>Stiprinti smulkiuosius verslus, taikant  inovatyvius ir/ar tvarius sprendimus, diegiant skaitmenizavimą.</v>
      </c>
      <c r="F7" s="141" t="str">
        <f>'2'!H7</f>
        <v>Stiprinti jaunimo, kaimo bendruomenių, kitų nevyriausybinių organizacijų iniciatyvas, skatinant verslumą, savanorystę, tvarų vartojimą</v>
      </c>
      <c r="G7" s="141" t="str">
        <f>'2'!I7</f>
        <v>Skatinti bendradarbiavimą tarp sektorių, ūkio subjektų populiarinant savo kraštą.</v>
      </c>
      <c r="H7" s="141" t="str">
        <f>'2'!J7</f>
        <v>Gerinti paslaugų kokybę,  didinti prieinamumą  ir įvairovę visoms  amžiaus ir/ar  socialiai pažeidžiamoms gyventojų grupėms.</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44" x14ac:dyDescent="0.3">
      <c r="A8" s="2" t="s">
        <v>17</v>
      </c>
      <c r="B8" s="124" t="s">
        <v>262</v>
      </c>
      <c r="C8" s="469" t="s">
        <v>1308</v>
      </c>
      <c r="D8" s="145" t="s">
        <v>1785</v>
      </c>
      <c r="E8" s="145" t="s">
        <v>1821</v>
      </c>
      <c r="F8" s="145" t="s">
        <v>1787</v>
      </c>
      <c r="G8" s="145" t="s">
        <v>1820</v>
      </c>
      <c r="H8" s="145" t="s">
        <v>1822</v>
      </c>
      <c r="I8" s="145"/>
      <c r="J8" s="145"/>
      <c r="K8" s="145"/>
      <c r="L8" s="145"/>
      <c r="M8" s="145"/>
      <c r="N8" s="145"/>
      <c r="O8" s="145"/>
      <c r="P8" s="145"/>
      <c r="Q8" s="145"/>
      <c r="R8" s="145"/>
      <c r="S8" s="145"/>
      <c r="T8" s="145"/>
      <c r="U8" s="145"/>
      <c r="V8" s="145"/>
      <c r="W8" s="145"/>
      <c r="X8" s="1"/>
    </row>
    <row r="9" spans="1:24" ht="86.4" x14ac:dyDescent="0.3">
      <c r="A9" s="2" t="s">
        <v>79</v>
      </c>
      <c r="B9" s="124" t="s">
        <v>263</v>
      </c>
      <c r="C9" s="469" t="s">
        <v>1303</v>
      </c>
      <c r="D9" s="145"/>
      <c r="E9" s="145" t="s">
        <v>1823</v>
      </c>
      <c r="F9" s="145" t="s">
        <v>1877</v>
      </c>
      <c r="G9" s="145"/>
      <c r="H9" s="145" t="s">
        <v>1871</v>
      </c>
      <c r="I9" s="145"/>
      <c r="J9" s="145"/>
      <c r="K9" s="145"/>
      <c r="L9" s="145"/>
      <c r="M9" s="145"/>
      <c r="N9" s="145"/>
      <c r="O9" s="145"/>
      <c r="P9" s="145"/>
      <c r="Q9" s="145"/>
      <c r="R9" s="145"/>
      <c r="S9" s="145"/>
      <c r="T9" s="145"/>
      <c r="U9" s="145"/>
      <c r="V9" s="145"/>
      <c r="W9" s="145"/>
      <c r="X9" s="1"/>
    </row>
    <row r="10" spans="1:24" ht="115.2" x14ac:dyDescent="0.3">
      <c r="A10" s="2" t="s">
        <v>80</v>
      </c>
      <c r="B10" s="124" t="s">
        <v>365</v>
      </c>
      <c r="C10" s="469" t="s">
        <v>1304</v>
      </c>
      <c r="D10" s="145" t="s">
        <v>1786</v>
      </c>
      <c r="E10" s="145"/>
      <c r="F10" s="145" t="s">
        <v>1878</v>
      </c>
      <c r="G10" s="145" t="s">
        <v>1876</v>
      </c>
      <c r="H10" s="145" t="s">
        <v>1870</v>
      </c>
      <c r="I10" s="145"/>
      <c r="J10" s="145"/>
      <c r="K10" s="145"/>
      <c r="L10" s="145"/>
      <c r="M10" s="145"/>
      <c r="N10" s="145"/>
      <c r="O10" s="145"/>
      <c r="P10" s="145"/>
      <c r="Q10" s="145"/>
      <c r="R10" s="145"/>
      <c r="S10" s="145"/>
      <c r="T10" s="145"/>
      <c r="U10" s="145"/>
      <c r="V10" s="145"/>
      <c r="W10" s="145"/>
      <c r="X10" s="1"/>
    </row>
    <row r="11" spans="1:24" ht="115.2" x14ac:dyDescent="0.3">
      <c r="A11" s="2" t="s">
        <v>81</v>
      </c>
      <c r="B11" s="124" t="s">
        <v>264</v>
      </c>
      <c r="C11" s="469" t="s">
        <v>1305</v>
      </c>
      <c r="D11" s="145" t="s">
        <v>1832</v>
      </c>
      <c r="E11" s="145" t="s">
        <v>1831</v>
      </c>
      <c r="F11" s="145" t="s">
        <v>1824</v>
      </c>
      <c r="G11" s="145" t="s">
        <v>1830</v>
      </c>
      <c r="H11" s="145" t="s">
        <v>1883</v>
      </c>
      <c r="I11" s="145"/>
      <c r="J11" s="145"/>
      <c r="K11" s="145"/>
      <c r="L11" s="145"/>
      <c r="M11" s="145"/>
      <c r="N11" s="145"/>
      <c r="O11" s="145"/>
      <c r="P11" s="145"/>
      <c r="Q11" s="145"/>
      <c r="R11" s="145"/>
      <c r="S11" s="145"/>
      <c r="T11" s="145"/>
      <c r="U11" s="145"/>
      <c r="V11" s="145"/>
      <c r="W11" s="145"/>
      <c r="X11" s="1"/>
    </row>
    <row r="12" spans="1:24" ht="57.6" x14ac:dyDescent="0.3">
      <c r="A12" s="2" t="s">
        <v>82</v>
      </c>
      <c r="B12" s="124" t="s">
        <v>265</v>
      </c>
      <c r="C12" s="469" t="s">
        <v>1306</v>
      </c>
      <c r="D12" s="145" t="s">
        <v>1833</v>
      </c>
      <c r="E12" s="145" t="s">
        <v>1873</v>
      </c>
      <c r="F12" s="145" t="s">
        <v>1874</v>
      </c>
      <c r="G12" s="145" t="s">
        <v>1875</v>
      </c>
      <c r="H12" s="145" t="s">
        <v>1872</v>
      </c>
      <c r="I12" s="145"/>
      <c r="J12" s="145"/>
      <c r="K12" s="145"/>
      <c r="L12" s="145"/>
      <c r="M12" s="145"/>
      <c r="N12" s="145"/>
      <c r="O12" s="145"/>
      <c r="P12" s="145"/>
      <c r="Q12" s="145"/>
      <c r="R12" s="145"/>
      <c r="S12" s="145"/>
      <c r="T12" s="145"/>
      <c r="U12" s="145"/>
      <c r="V12" s="145"/>
      <c r="W12" s="145"/>
      <c r="X12" s="1"/>
    </row>
    <row r="13" spans="1:24" ht="43.2" x14ac:dyDescent="0.3">
      <c r="A13" s="2" t="s">
        <v>83</v>
      </c>
      <c r="B13" s="124" t="s">
        <v>255</v>
      </c>
      <c r="C13" s="469" t="s">
        <v>1298</v>
      </c>
      <c r="D13" s="142">
        <f>COUNTIFS('9'!E$8:E$27,"taip")</f>
        <v>4</v>
      </c>
      <c r="E13" s="142">
        <f>COUNTIFS('9'!F$8:F$27,"taip")</f>
        <v>4</v>
      </c>
      <c r="F13" s="142">
        <f>COUNTIFS('9'!G$8:G$27,"taip")</f>
        <v>10</v>
      </c>
      <c r="G13" s="142">
        <f>COUNTIFS('9'!H$8:H$27,"taip")</f>
        <v>6</v>
      </c>
      <c r="H13" s="142">
        <f>COUNTIFS('9'!I$8:I$27,"taip")</f>
        <v>4</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2" x14ac:dyDescent="0.3">
      <c r="A14" s="2" t="s">
        <v>84</v>
      </c>
      <c r="B14" s="125" t="s">
        <v>256</v>
      </c>
      <c r="C14" s="469" t="s">
        <v>1307</v>
      </c>
      <c r="D14" s="143" t="s">
        <v>1739</v>
      </c>
      <c r="E14" s="143" t="s">
        <v>1741</v>
      </c>
      <c r="F14" s="143" t="s">
        <v>1740</v>
      </c>
      <c r="G14" s="143" t="s">
        <v>1741</v>
      </c>
      <c r="H14" s="143" t="s">
        <v>1741</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28.8" x14ac:dyDescent="0.3">
      <c r="A15" s="2" t="s">
        <v>85</v>
      </c>
      <c r="B15" s="125" t="s">
        <v>257</v>
      </c>
      <c r="C15" s="469" t="s">
        <v>1300</v>
      </c>
      <c r="D15" s="143" t="s">
        <v>1740</v>
      </c>
      <c r="E15" s="143" t="s">
        <v>1742</v>
      </c>
      <c r="F15" s="143" t="s">
        <v>1742</v>
      </c>
      <c r="G15" s="143" t="s">
        <v>1742</v>
      </c>
      <c r="H15" s="143" t="s">
        <v>1742</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28.8" x14ac:dyDescent="0.3">
      <c r="A16" s="2" t="s">
        <v>86</v>
      </c>
      <c r="B16" s="125" t="s">
        <v>258</v>
      </c>
      <c r="C16" s="469" t="s">
        <v>1300</v>
      </c>
      <c r="D16" s="143" t="s">
        <v>1123</v>
      </c>
      <c r="E16" s="143" t="s">
        <v>1739</v>
      </c>
      <c r="F16" s="143" t="s">
        <v>1739</v>
      </c>
      <c r="G16" s="143" t="s">
        <v>1740</v>
      </c>
      <c r="H16" s="143" t="s">
        <v>1740</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57.6" x14ac:dyDescent="0.3">
      <c r="A17" s="2" t="s">
        <v>87</v>
      </c>
      <c r="B17" s="125" t="s">
        <v>1301</v>
      </c>
      <c r="C17" s="469" t="s">
        <v>1597</v>
      </c>
      <c r="D17" s="144" t="s">
        <v>76</v>
      </c>
      <c r="E17" s="144" t="s">
        <v>77</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57.6" x14ac:dyDescent="0.3">
      <c r="A18" s="2" t="s">
        <v>88</v>
      </c>
      <c r="B18" s="125" t="s">
        <v>1302</v>
      </c>
      <c r="C18" s="583" t="str">
        <f>$C$17</f>
        <v>Pasirinkite iš sąrašo (taip arba ne). Sąsaja nėra privaloma. Iš anksto nurodyta reikšmė "Ne". Pasirinkimas "Taip" reiškia, kad tenkinant poreikį bus siekiama atitinkamo rezultato rodiklio.</v>
      </c>
      <c r="D18" s="144" t="s">
        <v>76</v>
      </c>
      <c r="E18" s="144" t="s">
        <v>77</v>
      </c>
      <c r="F18" s="144" t="s">
        <v>77</v>
      </c>
      <c r="G18" s="144" t="s">
        <v>77</v>
      </c>
      <c r="H18" s="144" t="s">
        <v>77</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57.6" x14ac:dyDescent="0.3">
      <c r="A19" s="2" t="s">
        <v>89</v>
      </c>
      <c r="B19" s="125" t="s">
        <v>1195</v>
      </c>
      <c r="C19" s="583" t="str">
        <f>$C$17</f>
        <v>Pasirinkite iš sąrašo (taip arba ne). Sąsaja nėra privaloma. Iš anksto nurodyta reikšmė "Ne". Pasirinkimas "Taip" reiškia, kad tenkinant poreikį bus siekiama atitinkamo rezultato rodiklio.</v>
      </c>
      <c r="D19" s="144" t="s">
        <v>76</v>
      </c>
      <c r="E19" s="144" t="s">
        <v>77</v>
      </c>
      <c r="F19" s="144" t="s">
        <v>77</v>
      </c>
      <c r="G19" s="144" t="s">
        <v>77</v>
      </c>
      <c r="H19" s="144" t="s">
        <v>77</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57.6" x14ac:dyDescent="0.3">
      <c r="A20" s="2" t="s">
        <v>90</v>
      </c>
      <c r="B20" s="125" t="s">
        <v>1196</v>
      </c>
      <c r="C20" s="583" t="str">
        <f>$C$17</f>
        <v>Pasirinkite iš sąrašo (taip arba ne). Sąsaja nėra privaloma. Iš anksto nurodyta reikšmė "Ne". Pasirinkimas "Taip" reiškia, kad tenkinant poreikį bus siekiama atitinkamo rezultato rodiklio.</v>
      </c>
      <c r="D20" s="144" t="s">
        <v>76</v>
      </c>
      <c r="E20" s="144" t="s">
        <v>76</v>
      </c>
      <c r="F20" s="144" t="s">
        <v>77</v>
      </c>
      <c r="G20" s="144" t="s">
        <v>77</v>
      </c>
      <c r="H20" s="144" t="s">
        <v>77</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57.6" x14ac:dyDescent="0.3">
      <c r="A21" s="2" t="s">
        <v>91</v>
      </c>
      <c r="B21" s="125" t="s">
        <v>1197</v>
      </c>
      <c r="C21" s="583" t="str">
        <f>$C$17</f>
        <v>Pasirinkite iš sąrašo (taip arba ne). Sąsaja nėra privaloma. Iš anksto nurodyta reikšmė "Ne". Pasirinkimas "Taip" reiškia, kad tenkinant poreikį bus siekiama atitinkamo rezultato rodiklio.</v>
      </c>
      <c r="D21" s="144" t="s">
        <v>77</v>
      </c>
      <c r="E21" s="144" t="s">
        <v>76</v>
      </c>
      <c r="F21" s="144" t="s">
        <v>77</v>
      </c>
      <c r="G21" s="144" t="s">
        <v>76</v>
      </c>
      <c r="H21" s="144" t="s">
        <v>77</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3">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3">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3">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3">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3">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3">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3">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3">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3">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xr:uid="{00000000-0002-0000-0400-000000000000}">
      <formula1>0</formula1>
      <formula2>500</formula2>
    </dataValidation>
    <dataValidation type="textLength" allowBlank="1" showInputMessage="1" showErrorMessage="1" prompt="Maksimalus simbolių skaičius - 300." sqref="D12:W12" xr:uid="{00000000-0002-0000-0400-000001000000}">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Sąrašai!$A$23:$A$24</xm:f>
          </x14:formula1>
          <xm:sqref>D17:W21</xm:sqref>
        </x14:dataValidation>
        <x14:dataValidation type="list" allowBlank="1" showInputMessage="1" showErrorMessage="1" xr:uid="{00000000-0002-0000-0400-000003000000}">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3" zoomScaleNormal="100" workbookViewId="0">
      <selection activeCell="D19" sqref="D19"/>
    </sheetView>
  </sheetViews>
  <sheetFormatPr defaultColWidth="9.109375" defaultRowHeight="14.4" x14ac:dyDescent="0.3"/>
  <cols>
    <col min="1" max="1" width="8.6640625" style="106" customWidth="1"/>
    <col min="2" max="2" width="18.6640625" style="13" customWidth="1"/>
    <col min="3" max="3" width="70.6640625" style="13" customWidth="1"/>
    <col min="4" max="7" width="15.6640625" style="13" customWidth="1"/>
    <col min="8" max="8" width="20.6640625" style="13" customWidth="1"/>
    <col min="9" max="16384" width="9.109375" style="13"/>
  </cols>
  <sheetData>
    <row r="1" spans="1:7" s="38" customFormat="1" ht="18" x14ac:dyDescent="0.3">
      <c r="A1" s="169" t="s">
        <v>18</v>
      </c>
      <c r="B1" s="36" t="s">
        <v>385</v>
      </c>
      <c r="C1" s="36"/>
      <c r="D1" s="36"/>
      <c r="E1" s="36"/>
    </row>
    <row r="2" spans="1:7" x14ac:dyDescent="0.3">
      <c r="A2" s="105"/>
      <c r="B2" s="1"/>
      <c r="C2" s="1"/>
      <c r="D2" s="1"/>
      <c r="E2" s="1"/>
    </row>
    <row r="3" spans="1:7" x14ac:dyDescent="0.3">
      <c r="A3" s="1"/>
      <c r="B3" s="140" t="s">
        <v>1272</v>
      </c>
      <c r="C3" s="205" t="str">
        <f>'1'!C8</f>
        <v>TRAK</v>
      </c>
    </row>
    <row r="4" spans="1:7" s="1" customFormat="1" ht="15" thickBot="1" x14ac:dyDescent="0.35"/>
    <row r="5" spans="1:7" x14ac:dyDescent="0.3">
      <c r="A5" s="105"/>
      <c r="B5" s="318">
        <v>1</v>
      </c>
      <c r="C5" s="319">
        <v>2</v>
      </c>
      <c r="D5" s="321">
        <v>3</v>
      </c>
      <c r="E5" s="162">
        <v>4</v>
      </c>
      <c r="F5" s="259">
        <v>5</v>
      </c>
      <c r="G5" s="259">
        <v>6</v>
      </c>
    </row>
    <row r="6" spans="1:7" s="15" customFormat="1" ht="57.6" x14ac:dyDescent="0.3">
      <c r="A6" s="105"/>
      <c r="B6" s="505"/>
      <c r="C6" s="20" t="s">
        <v>253</v>
      </c>
      <c r="D6" s="506" t="s">
        <v>380</v>
      </c>
      <c r="E6" s="22" t="s">
        <v>166</v>
      </c>
      <c r="F6" s="22" t="s">
        <v>1501</v>
      </c>
      <c r="G6" s="22" t="s">
        <v>1503</v>
      </c>
    </row>
    <row r="7" spans="1:7" s="15" customFormat="1" ht="18" x14ac:dyDescent="0.3">
      <c r="A7" s="105" t="s">
        <v>259</v>
      </c>
      <c r="B7" s="507" t="s">
        <v>222</v>
      </c>
      <c r="C7" s="638" t="s">
        <v>382</v>
      </c>
      <c r="D7" s="508"/>
      <c r="E7" s="27"/>
      <c r="F7" s="27"/>
      <c r="G7" s="27"/>
    </row>
    <row r="8" spans="1:7" ht="43.2" x14ac:dyDescent="0.3">
      <c r="A8" s="105" t="s">
        <v>714</v>
      </c>
      <c r="B8" s="509" t="s">
        <v>1257</v>
      </c>
      <c r="C8" s="125" t="s">
        <v>381</v>
      </c>
      <c r="D8" s="510" t="s">
        <v>77</v>
      </c>
      <c r="E8" s="146">
        <f>COUNTIFS('8'!$E$7:$E$26,"taip")</f>
        <v>9</v>
      </c>
      <c r="F8" s="146">
        <f>COUNTIFS('10'!$D$11:$W$11,C8)</f>
        <v>4</v>
      </c>
      <c r="G8" s="472"/>
    </row>
    <row r="9" spans="1:7" ht="28.8" x14ac:dyDescent="0.3">
      <c r="A9" s="105" t="s">
        <v>715</v>
      </c>
      <c r="B9" s="509" t="s">
        <v>1256</v>
      </c>
      <c r="C9" s="125" t="s">
        <v>373</v>
      </c>
      <c r="D9" s="511" t="s">
        <v>77</v>
      </c>
      <c r="E9" s="147">
        <f>COUNTIFS('8'!$F$7:$F$26,"taip")</f>
        <v>5</v>
      </c>
      <c r="F9" s="147">
        <f>COUNTIFS('10'!$D$11:$W$11,C9)</f>
        <v>1</v>
      </c>
      <c r="G9" s="473"/>
    </row>
    <row r="10" spans="1:7" s="15" customFormat="1" ht="36" x14ac:dyDescent="0.3">
      <c r="A10" s="105" t="s">
        <v>260</v>
      </c>
      <c r="B10" s="512" t="s">
        <v>1199</v>
      </c>
      <c r="C10" s="639" t="s">
        <v>384</v>
      </c>
      <c r="D10" s="513"/>
      <c r="E10" s="31"/>
      <c r="F10" s="31"/>
      <c r="G10" s="31"/>
    </row>
    <row r="11" spans="1:7" ht="43.2" x14ac:dyDescent="0.3">
      <c r="A11" s="105" t="s">
        <v>716</v>
      </c>
      <c r="B11" s="509" t="s">
        <v>1258</v>
      </c>
      <c r="C11" s="125" t="s">
        <v>375</v>
      </c>
      <c r="D11" s="514" t="s">
        <v>77</v>
      </c>
      <c r="E11" s="147">
        <f>COUNTIFS('8'!$G$7:$G$26,"taip")</f>
        <v>2</v>
      </c>
      <c r="F11" s="147">
        <f>COUNTIFS('10'!$D$11:$W$11,C11)</f>
        <v>0</v>
      </c>
      <c r="G11" s="147">
        <f>COUNTIFS('10'!$D$12:$W$12,"Taip")</f>
        <v>1</v>
      </c>
    </row>
    <row r="12" spans="1:7" ht="43.2" x14ac:dyDescent="0.3">
      <c r="A12" s="105" t="s">
        <v>717</v>
      </c>
      <c r="B12" s="509" t="s">
        <v>1259</v>
      </c>
      <c r="C12" s="125" t="s">
        <v>376</v>
      </c>
      <c r="D12" s="514" t="s">
        <v>77</v>
      </c>
      <c r="E12" s="147">
        <f>COUNTIFS('8'!$H$7:H$26,"taip")</f>
        <v>2</v>
      </c>
      <c r="F12" s="147">
        <f>COUNTIFS('10'!$D$11:$W$11,C12)</f>
        <v>1</v>
      </c>
      <c r="G12" s="147">
        <f>COUNTIFS('10'!$D$13:$W$13,"Taip")</f>
        <v>1</v>
      </c>
    </row>
    <row r="13" spans="1:7" ht="28.8" x14ac:dyDescent="0.3">
      <c r="A13" s="105" t="s">
        <v>718</v>
      </c>
      <c r="B13" s="509" t="s">
        <v>1260</v>
      </c>
      <c r="C13" s="125" t="s">
        <v>377</v>
      </c>
      <c r="D13" s="514" t="s">
        <v>77</v>
      </c>
      <c r="E13" s="147">
        <f>COUNTIFS('8'!$I$7:$I$26,"taip")</f>
        <v>2</v>
      </c>
      <c r="F13" s="147">
        <f>COUNTIFS('10'!$D$11:$W$11,C13)</f>
        <v>1</v>
      </c>
      <c r="G13" s="147">
        <f>COUNTIFS('10'!$D$14:$W$14,"Taip")</f>
        <v>2</v>
      </c>
    </row>
    <row r="14" spans="1:7" ht="43.2" x14ac:dyDescent="0.3">
      <c r="A14" s="105" t="s">
        <v>719</v>
      </c>
      <c r="B14" s="509" t="s">
        <v>1261</v>
      </c>
      <c r="C14" s="125" t="s">
        <v>1499</v>
      </c>
      <c r="D14" s="514" t="s">
        <v>77</v>
      </c>
      <c r="E14" s="147">
        <f>COUNTIFS('8'!$J$7:$J$26,"taip")</f>
        <v>6</v>
      </c>
      <c r="F14" s="147">
        <f>COUNTIFS('10'!$D$11:$W$11,C14)</f>
        <v>2</v>
      </c>
      <c r="G14" s="147">
        <f>COUNTIFS('10'!$D$15:$W$15,"Taip")</f>
        <v>1</v>
      </c>
    </row>
    <row r="15" spans="1:7" s="15" customFormat="1" ht="18" x14ac:dyDescent="0.3">
      <c r="A15" s="105" t="s">
        <v>261</v>
      </c>
      <c r="B15" s="512" t="s">
        <v>223</v>
      </c>
      <c r="C15" s="640" t="s">
        <v>383</v>
      </c>
      <c r="D15" s="515"/>
      <c r="E15" s="148"/>
      <c r="F15" s="148"/>
      <c r="G15" s="148"/>
    </row>
    <row r="16" spans="1:7" ht="43.2" x14ac:dyDescent="0.3">
      <c r="A16" s="105" t="s">
        <v>720</v>
      </c>
      <c r="B16" s="509" t="s">
        <v>1262</v>
      </c>
      <c r="C16" s="125" t="s">
        <v>371</v>
      </c>
      <c r="D16" s="514" t="s">
        <v>76</v>
      </c>
      <c r="E16" s="234">
        <f>COUNTIFS('8'!$K$7:$K$26,"taip")</f>
        <v>0</v>
      </c>
      <c r="F16" s="35">
        <f>COUNTIFS('10'!$D$11:$W$11,C16)</f>
        <v>0</v>
      </c>
      <c r="G16" s="25"/>
    </row>
    <row r="17" spans="1:7" ht="43.2" x14ac:dyDescent="0.3">
      <c r="A17" s="105" t="s">
        <v>721</v>
      </c>
      <c r="B17" s="509" t="s">
        <v>1263</v>
      </c>
      <c r="C17" s="125" t="s">
        <v>372</v>
      </c>
      <c r="D17" s="514" t="s">
        <v>76</v>
      </c>
      <c r="E17" s="146">
        <f>COUNTIFS('8'!$L$7:$L$26,"taip")</f>
        <v>0</v>
      </c>
      <c r="F17" s="149">
        <f>COUNTIFS('10'!$D$11:$W$11,C17)</f>
        <v>0</v>
      </c>
      <c r="G17" s="474"/>
    </row>
    <row r="18" spans="1:7" ht="28.8" x14ac:dyDescent="0.3">
      <c r="A18" s="105" t="s">
        <v>722</v>
      </c>
      <c r="B18" s="509" t="s">
        <v>1264</v>
      </c>
      <c r="C18" s="125" t="s">
        <v>374</v>
      </c>
      <c r="D18" s="514" t="s">
        <v>76</v>
      </c>
      <c r="E18" s="147">
        <f>COUNTIFS('8'!$M$7:$M$26,"taip")</f>
        <v>0</v>
      </c>
      <c r="F18" s="29">
        <f>COUNTIFS('10'!$D$11:$W$11,C18)</f>
        <v>0</v>
      </c>
      <c r="G18" s="475"/>
    </row>
    <row r="19" spans="1:7" ht="29.4" thickBot="1" x14ac:dyDescent="0.35">
      <c r="A19" s="105" t="s">
        <v>723</v>
      </c>
      <c r="B19" s="516" t="s">
        <v>1265</v>
      </c>
      <c r="C19" s="517" t="s">
        <v>378</v>
      </c>
      <c r="D19" s="518" t="s">
        <v>77</v>
      </c>
      <c r="E19" s="504">
        <f>COUNTIFS('8'!$N$7:$N$26,"taip")</f>
        <v>0</v>
      </c>
      <c r="F19" s="150">
        <f>COUNTIFS('10'!$D$11:$W$11,C19)</f>
        <v>0</v>
      </c>
      <c r="G19" s="476"/>
    </row>
    <row r="20" spans="1:7" ht="45" customHeight="1" x14ac:dyDescent="0.3">
      <c r="B20" s="735" t="s">
        <v>1500</v>
      </c>
      <c r="C20" s="735"/>
      <c r="D20" s="735"/>
      <c r="E20" s="625"/>
      <c r="F20" s="625"/>
      <c r="G20" s="625"/>
    </row>
    <row r="22" spans="1:7" x14ac:dyDescent="0.3">
      <c r="B22" s="1"/>
      <c r="C22" s="596" t="s">
        <v>1487</v>
      </c>
    </row>
    <row r="23" spans="1:7" ht="28.8" x14ac:dyDescent="0.3">
      <c r="B23" s="1">
        <v>1</v>
      </c>
      <c r="C23" s="335" t="s">
        <v>1488</v>
      </c>
    </row>
    <row r="24" spans="1:7" x14ac:dyDescent="0.3">
      <c r="B24" s="1">
        <v>2</v>
      </c>
      <c r="C24" s="335" t="s">
        <v>1492</v>
      </c>
      <c r="D24" s="43"/>
    </row>
    <row r="25" spans="1:7" x14ac:dyDescent="0.3">
      <c r="B25" s="1">
        <v>3</v>
      </c>
      <c r="C25" s="335" t="s">
        <v>1502</v>
      </c>
      <c r="D25" s="43"/>
    </row>
    <row r="26" spans="1:7" x14ac:dyDescent="0.3">
      <c r="B26" s="1">
        <v>4</v>
      </c>
      <c r="C26" s="335" t="s">
        <v>1504</v>
      </c>
      <c r="D26" s="43"/>
    </row>
    <row r="27" spans="1:7" ht="57.6" x14ac:dyDescent="0.3">
      <c r="B27" s="1">
        <v>5</v>
      </c>
      <c r="C27" s="335" t="s">
        <v>1491</v>
      </c>
    </row>
    <row r="28" spans="1:7" ht="158.4" x14ac:dyDescent="0.3">
      <c r="B28" s="1">
        <v>6</v>
      </c>
      <c r="C28" s="335" t="s">
        <v>1489</v>
      </c>
    </row>
    <row r="29" spans="1:7" ht="144" x14ac:dyDescent="0.3">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5"/>
  <sheetViews>
    <sheetView topLeftCell="A3" zoomScale="115" zoomScaleNormal="115" workbookViewId="0">
      <selection activeCell="C38" sqref="C38"/>
    </sheetView>
  </sheetViews>
  <sheetFormatPr defaultColWidth="9.109375" defaultRowHeight="14.4" x14ac:dyDescent="0.3"/>
  <cols>
    <col min="1" max="1" width="8.6640625" style="153" customWidth="1"/>
    <col min="2" max="2" width="10.6640625" style="153" customWidth="1"/>
    <col min="3" max="3" width="82.6640625" style="10" customWidth="1"/>
    <col min="4" max="4" width="15.6640625" style="12" customWidth="1"/>
    <col min="5" max="5" width="15.6640625" style="153" customWidth="1"/>
    <col min="6" max="8" width="9.109375" style="153"/>
    <col min="9" max="16384" width="9.109375" style="10"/>
  </cols>
  <sheetData>
    <row r="1" spans="1:8" s="80" customFormat="1" ht="18" x14ac:dyDescent="0.35">
      <c r="A1" s="157" t="s">
        <v>19</v>
      </c>
      <c r="B1" s="83" t="s">
        <v>1143</v>
      </c>
      <c r="C1" s="83"/>
      <c r="D1" s="83"/>
      <c r="E1" s="151"/>
      <c r="F1" s="152"/>
      <c r="G1" s="151"/>
      <c r="H1" s="151"/>
    </row>
    <row r="2" spans="1:8" x14ac:dyDescent="0.3">
      <c r="A2" s="158"/>
      <c r="B2" s="158"/>
      <c r="C2"/>
      <c r="D2" s="159"/>
    </row>
    <row r="3" spans="1:8" s="13" customFormat="1" x14ac:dyDescent="0.3">
      <c r="A3" s="1"/>
      <c r="B3" s="140" t="s">
        <v>1272</v>
      </c>
      <c r="C3" s="205" t="str">
        <f>'1'!C8</f>
        <v>TRAK</v>
      </c>
    </row>
    <row r="4" spans="1:8" customFormat="1" ht="15" thickBot="1" x14ac:dyDescent="0.35"/>
    <row r="5" spans="1:8" customFormat="1" x14ac:dyDescent="0.3">
      <c r="B5" s="269">
        <v>1</v>
      </c>
      <c r="C5" s="270">
        <v>2</v>
      </c>
      <c r="D5" s="271">
        <v>3</v>
      </c>
      <c r="E5" s="603">
        <v>4</v>
      </c>
    </row>
    <row r="6" spans="1:8" s="95" customFormat="1" ht="43.2" x14ac:dyDescent="0.3">
      <c r="A6" s="160"/>
      <c r="B6" s="547" t="s">
        <v>153</v>
      </c>
      <c r="C6" s="85" t="s">
        <v>142</v>
      </c>
      <c r="D6" s="537" t="s">
        <v>456</v>
      </c>
      <c r="E6" s="86" t="s">
        <v>1270</v>
      </c>
      <c r="F6" s="154"/>
      <c r="G6" s="155"/>
      <c r="H6" s="155"/>
    </row>
    <row r="7" spans="1:8" s="95" customFormat="1" ht="18" x14ac:dyDescent="0.3">
      <c r="A7" s="160" t="s">
        <v>21</v>
      </c>
      <c r="B7" s="548" t="s">
        <v>222</v>
      </c>
      <c r="C7" s="187" t="s">
        <v>1124</v>
      </c>
      <c r="D7" s="549"/>
      <c r="E7" s="736"/>
      <c r="F7" s="153"/>
      <c r="G7" s="155"/>
      <c r="H7" s="155"/>
    </row>
    <row r="8" spans="1:8" ht="28.8" x14ac:dyDescent="0.3">
      <c r="A8" s="160" t="s">
        <v>22</v>
      </c>
      <c r="B8" s="550" t="s">
        <v>139</v>
      </c>
      <c r="C8" s="161" t="s">
        <v>467</v>
      </c>
      <c r="D8" s="551">
        <f>'11'!C9</f>
        <v>2</v>
      </c>
      <c r="E8" s="737"/>
    </row>
    <row r="9" spans="1:8" ht="28.8" x14ac:dyDescent="0.3">
      <c r="A9" s="160" t="s">
        <v>724</v>
      </c>
      <c r="B9" s="550" t="s">
        <v>140</v>
      </c>
      <c r="C9" s="161" t="s">
        <v>224</v>
      </c>
      <c r="D9" s="552">
        <f>'11'!C25</f>
        <v>9.5</v>
      </c>
      <c r="E9" s="737"/>
    </row>
    <row r="10" spans="1:8" ht="28.8" x14ac:dyDescent="0.3">
      <c r="A10" s="160" t="s">
        <v>1160</v>
      </c>
      <c r="B10" s="550" t="s">
        <v>141</v>
      </c>
      <c r="C10" s="161" t="s">
        <v>225</v>
      </c>
      <c r="D10" s="552">
        <f>'11'!C43</f>
        <v>7</v>
      </c>
      <c r="E10" s="737"/>
    </row>
    <row r="11" spans="1:8" ht="28.8" x14ac:dyDescent="0.3">
      <c r="A11" s="160" t="s">
        <v>1161</v>
      </c>
      <c r="B11" s="550" t="s">
        <v>154</v>
      </c>
      <c r="C11" s="161" t="s">
        <v>400</v>
      </c>
      <c r="D11" s="552">
        <f>'11'!C59</f>
        <v>2200</v>
      </c>
      <c r="E11" s="737"/>
    </row>
    <row r="12" spans="1:8" ht="28.8" x14ac:dyDescent="0.3">
      <c r="A12" s="160" t="s">
        <v>1162</v>
      </c>
      <c r="B12" s="550" t="s">
        <v>155</v>
      </c>
      <c r="C12" s="161" t="s">
        <v>226</v>
      </c>
      <c r="D12" s="552">
        <f>'11'!C75</f>
        <v>175</v>
      </c>
      <c r="E12" s="737"/>
    </row>
    <row r="13" spans="1:8" ht="18" x14ac:dyDescent="0.3">
      <c r="A13" s="160" t="s">
        <v>1163</v>
      </c>
      <c r="B13" s="548" t="s">
        <v>1199</v>
      </c>
      <c r="C13" s="187" t="s">
        <v>1126</v>
      </c>
      <c r="D13" s="549"/>
      <c r="E13" s="737"/>
    </row>
    <row r="14" spans="1:8" x14ac:dyDescent="0.3">
      <c r="A14" s="160" t="s">
        <v>1164</v>
      </c>
      <c r="B14" s="553" t="s">
        <v>1127</v>
      </c>
      <c r="C14" s="165" t="s">
        <v>1132</v>
      </c>
      <c r="D14" s="554">
        <f>SUM('10'!D34:W34)</f>
        <v>37</v>
      </c>
      <c r="E14" s="737"/>
    </row>
    <row r="15" spans="1:8" x14ac:dyDescent="0.3">
      <c r="A15" s="160" t="s">
        <v>1165</v>
      </c>
      <c r="B15" s="553" t="s">
        <v>1128</v>
      </c>
      <c r="C15" s="165" t="s">
        <v>1129</v>
      </c>
      <c r="D15" s="554">
        <f>SUM('10'!D46:W46)</f>
        <v>28</v>
      </c>
      <c r="E15" s="737"/>
    </row>
    <row r="16" spans="1:8" ht="18" x14ac:dyDescent="0.3">
      <c r="A16" s="160" t="s">
        <v>1166</v>
      </c>
      <c r="B16" s="555" t="s">
        <v>223</v>
      </c>
      <c r="C16" s="188" t="s">
        <v>1125</v>
      </c>
      <c r="D16" s="556"/>
      <c r="E16" s="737"/>
    </row>
    <row r="17" spans="1:6" x14ac:dyDescent="0.3">
      <c r="A17" s="160" t="s">
        <v>1167</v>
      </c>
      <c r="B17" s="557" t="s">
        <v>1156</v>
      </c>
      <c r="C17" s="163" t="s">
        <v>228</v>
      </c>
      <c r="D17" s="558">
        <f>SUM(D18:D20)</f>
        <v>0</v>
      </c>
      <c r="E17" s="737"/>
    </row>
    <row r="18" spans="1:6" x14ac:dyDescent="0.3">
      <c r="A18" s="160" t="s">
        <v>1168</v>
      </c>
      <c r="B18" s="550" t="s">
        <v>1144</v>
      </c>
      <c r="C18" s="164" t="s">
        <v>146</v>
      </c>
      <c r="D18" s="559">
        <f>'13'!C12</f>
        <v>0</v>
      </c>
      <c r="E18" s="737"/>
    </row>
    <row r="19" spans="1:6" x14ac:dyDescent="0.3">
      <c r="A19" s="160" t="s">
        <v>1169</v>
      </c>
      <c r="B19" s="550" t="s">
        <v>1145</v>
      </c>
      <c r="C19" s="164" t="s">
        <v>147</v>
      </c>
      <c r="D19" s="559">
        <f>'13'!C13</f>
        <v>0</v>
      </c>
      <c r="E19" s="737"/>
    </row>
    <row r="20" spans="1:6" x14ac:dyDescent="0.3">
      <c r="A20" s="160" t="s">
        <v>1170</v>
      </c>
      <c r="B20" s="550" t="s">
        <v>1146</v>
      </c>
      <c r="C20" s="164" t="s">
        <v>148</v>
      </c>
      <c r="D20" s="559">
        <f>'13'!C14</f>
        <v>0</v>
      </c>
      <c r="E20" s="737"/>
    </row>
    <row r="21" spans="1:6" x14ac:dyDescent="0.3">
      <c r="A21" s="160" t="s">
        <v>1171</v>
      </c>
      <c r="B21" s="557" t="s">
        <v>1157</v>
      </c>
      <c r="C21" s="163" t="s">
        <v>227</v>
      </c>
      <c r="D21" s="558">
        <f>SUM(D22:D24)</f>
        <v>0</v>
      </c>
      <c r="E21" s="737"/>
    </row>
    <row r="22" spans="1:6" x14ac:dyDescent="0.3">
      <c r="A22" s="160" t="s">
        <v>1172</v>
      </c>
      <c r="B22" s="550" t="s">
        <v>1147</v>
      </c>
      <c r="C22" s="164" t="s">
        <v>145</v>
      </c>
      <c r="D22" s="559">
        <f>'13'!C16</f>
        <v>0</v>
      </c>
      <c r="E22" s="737"/>
    </row>
    <row r="23" spans="1:6" x14ac:dyDescent="0.3">
      <c r="A23" s="160" t="s">
        <v>1173</v>
      </c>
      <c r="B23" s="550" t="s">
        <v>1148</v>
      </c>
      <c r="C23" s="164" t="s">
        <v>143</v>
      </c>
      <c r="D23" s="559">
        <f>'13'!C17</f>
        <v>0</v>
      </c>
      <c r="E23" s="737"/>
    </row>
    <row r="24" spans="1:6" x14ac:dyDescent="0.3">
      <c r="A24" s="160" t="s">
        <v>1174</v>
      </c>
      <c r="B24" s="550" t="s">
        <v>1149</v>
      </c>
      <c r="C24" s="164" t="s">
        <v>144</v>
      </c>
      <c r="D24" s="559">
        <f>'13'!C18</f>
        <v>0</v>
      </c>
      <c r="E24" s="737"/>
    </row>
    <row r="25" spans="1:6" ht="18" x14ac:dyDescent="0.3">
      <c r="A25" s="160" t="s">
        <v>1175</v>
      </c>
      <c r="B25" s="555" t="s">
        <v>1131</v>
      </c>
      <c r="C25" s="188" t="s">
        <v>1133</v>
      </c>
      <c r="D25" s="556"/>
      <c r="E25" s="737"/>
    </row>
    <row r="26" spans="1:6" x14ac:dyDescent="0.3">
      <c r="A26" s="160" t="s">
        <v>1176</v>
      </c>
      <c r="B26" s="557" t="s">
        <v>1158</v>
      </c>
      <c r="C26" s="129" t="s">
        <v>229</v>
      </c>
      <c r="D26" s="560"/>
      <c r="E26" s="737"/>
      <c r="F26" s="156"/>
    </row>
    <row r="27" spans="1:6" x14ac:dyDescent="0.3">
      <c r="A27" s="160" t="s">
        <v>1177</v>
      </c>
      <c r="B27" s="550" t="s">
        <v>1150</v>
      </c>
      <c r="C27" s="164" t="s">
        <v>1134</v>
      </c>
      <c r="D27" s="561">
        <v>8</v>
      </c>
      <c r="E27" s="737"/>
    </row>
    <row r="28" spans="1:6" x14ac:dyDescent="0.3">
      <c r="A28" s="160" t="s">
        <v>1178</v>
      </c>
      <c r="B28" s="557" t="s">
        <v>1151</v>
      </c>
      <c r="C28" s="165" t="s">
        <v>1136</v>
      </c>
      <c r="D28" s="562">
        <f>'1'!C9</f>
        <v>8</v>
      </c>
      <c r="E28" s="737"/>
    </row>
    <row r="29" spans="1:6" x14ac:dyDescent="0.3">
      <c r="A29" s="160" t="s">
        <v>1179</v>
      </c>
      <c r="B29" s="557" t="s">
        <v>1152</v>
      </c>
      <c r="C29" s="165" t="s">
        <v>1137</v>
      </c>
      <c r="D29" s="563">
        <f>(D27/D28)*100</f>
        <v>100</v>
      </c>
      <c r="E29" s="737"/>
    </row>
    <row r="30" spans="1:6" x14ac:dyDescent="0.3">
      <c r="A30" s="160" t="s">
        <v>1180</v>
      </c>
      <c r="B30" s="557" t="s">
        <v>1159</v>
      </c>
      <c r="C30" s="129" t="s">
        <v>230</v>
      </c>
      <c r="D30" s="560"/>
      <c r="E30" s="737"/>
    </row>
    <row r="31" spans="1:6" ht="28.8" x14ac:dyDescent="0.3">
      <c r="A31" s="160" t="s">
        <v>1181</v>
      </c>
      <c r="B31" s="550" t="s">
        <v>1153</v>
      </c>
      <c r="C31" s="164" t="s">
        <v>1135</v>
      </c>
      <c r="D31" s="564">
        <v>100</v>
      </c>
      <c r="E31" s="737"/>
    </row>
    <row r="32" spans="1:6" x14ac:dyDescent="0.3">
      <c r="A32" s="160" t="s">
        <v>1182</v>
      </c>
      <c r="B32" s="557" t="s">
        <v>1154</v>
      </c>
      <c r="C32" s="165" t="s">
        <v>1138</v>
      </c>
      <c r="D32" s="562">
        <f>'1'!C10</f>
        <v>469</v>
      </c>
      <c r="E32" s="737"/>
    </row>
    <row r="33" spans="1:5" ht="28.8" x14ac:dyDescent="0.3">
      <c r="A33" s="160" t="s">
        <v>1183</v>
      </c>
      <c r="B33" s="557" t="s">
        <v>1155</v>
      </c>
      <c r="C33" s="165" t="s">
        <v>1139</v>
      </c>
      <c r="D33" s="563">
        <f>(D31/D32)*100</f>
        <v>21.321961620469082</v>
      </c>
      <c r="E33" s="737"/>
    </row>
    <row r="34" spans="1:5" ht="18" x14ac:dyDescent="0.3">
      <c r="A34" s="160" t="s">
        <v>1184</v>
      </c>
      <c r="B34" s="555" t="s">
        <v>1130</v>
      </c>
      <c r="C34" s="188" t="s">
        <v>1600</v>
      </c>
      <c r="D34" s="556"/>
      <c r="E34" s="738"/>
    </row>
    <row r="35" spans="1:5" x14ac:dyDescent="0.3">
      <c r="A35" s="160" t="s">
        <v>1185</v>
      </c>
      <c r="B35" s="565" t="str">
        <f>CONCATENATE('1'!$C$8,"-",E35,".","1")</f>
        <v>TRAK-P.1</v>
      </c>
      <c r="C35" s="92"/>
      <c r="D35" s="559">
        <f>'11'!C91</f>
        <v>0</v>
      </c>
      <c r="E35" s="190" t="s">
        <v>1140</v>
      </c>
    </row>
    <row r="36" spans="1:5" x14ac:dyDescent="0.3">
      <c r="A36" s="160" t="s">
        <v>1186</v>
      </c>
      <c r="B36" s="566" t="str">
        <f>CONCATENATE('1'!$C$8,"-",E36,".","2")</f>
        <v>TRAK-P.2</v>
      </c>
      <c r="C36" s="92"/>
      <c r="D36" s="559">
        <f>'11'!C107</f>
        <v>0</v>
      </c>
      <c r="E36" s="190" t="s">
        <v>1140</v>
      </c>
    </row>
    <row r="37" spans="1:5" x14ac:dyDescent="0.3">
      <c r="A37" s="160" t="s">
        <v>1187</v>
      </c>
      <c r="B37" s="566" t="str">
        <f>CONCATENATE('1'!$C$8,"-",E37,".","3")</f>
        <v>TRAK-P.3</v>
      </c>
      <c r="C37" s="92"/>
      <c r="D37" s="559">
        <f>'11'!C123</f>
        <v>0</v>
      </c>
      <c r="E37" s="190" t="s">
        <v>1140</v>
      </c>
    </row>
    <row r="38" spans="1:5" x14ac:dyDescent="0.3">
      <c r="A38" s="160" t="s">
        <v>1188</v>
      </c>
      <c r="B38" s="566" t="str">
        <f>CONCATENATE('1'!$C$8,"-",E38,".","4")</f>
        <v>TRAK-P.4</v>
      </c>
      <c r="C38" s="92"/>
      <c r="D38" s="559">
        <f>'11'!C139</f>
        <v>0</v>
      </c>
      <c r="E38" s="190" t="s">
        <v>1140</v>
      </c>
    </row>
    <row r="39" spans="1:5" x14ac:dyDescent="0.3">
      <c r="A39" s="160" t="s">
        <v>1189</v>
      </c>
      <c r="B39" s="566" t="str">
        <f>CONCATENATE('1'!$C$8,"-",E39,".","5")</f>
        <v>TRAK-P.5</v>
      </c>
      <c r="C39" s="92"/>
      <c r="D39" s="559">
        <f>'11'!C155</f>
        <v>0</v>
      </c>
      <c r="E39" s="190" t="s">
        <v>1140</v>
      </c>
    </row>
    <row r="40" spans="1:5" x14ac:dyDescent="0.3">
      <c r="A40" s="160" t="s">
        <v>1190</v>
      </c>
      <c r="B40" s="566" t="str">
        <f>CONCATENATE('1'!$C$8,"-",E40,".","6")</f>
        <v>TRAK-P.6</v>
      </c>
      <c r="C40" s="92"/>
      <c r="D40" s="559">
        <f>'11'!C171</f>
        <v>0</v>
      </c>
      <c r="E40" s="190" t="s">
        <v>1140</v>
      </c>
    </row>
    <row r="41" spans="1:5" x14ac:dyDescent="0.3">
      <c r="A41" s="160" t="s">
        <v>1191</v>
      </c>
      <c r="B41" s="566" t="str">
        <f>CONCATENATE('1'!$C$8,"-",E41,".","7")</f>
        <v>TRAK-P.7</v>
      </c>
      <c r="C41" s="92"/>
      <c r="D41" s="559">
        <f>'11'!C187</f>
        <v>0</v>
      </c>
      <c r="E41" s="190" t="s">
        <v>1140</v>
      </c>
    </row>
    <row r="42" spans="1:5" x14ac:dyDescent="0.3">
      <c r="A42" s="160" t="s">
        <v>1192</v>
      </c>
      <c r="B42" s="566" t="str">
        <f>CONCATENATE('1'!$C$8,"-",E42,".","8")</f>
        <v>TRAK-P.8</v>
      </c>
      <c r="C42" s="92"/>
      <c r="D42" s="559">
        <f>'11'!C203</f>
        <v>0</v>
      </c>
      <c r="E42" s="190" t="s">
        <v>1140</v>
      </c>
    </row>
    <row r="43" spans="1:5" x14ac:dyDescent="0.3">
      <c r="A43" s="160" t="s">
        <v>1193</v>
      </c>
      <c r="B43" s="566" t="str">
        <f>CONCATENATE('1'!$C$8,"-",E43,".","9")</f>
        <v>TRAK-P.9</v>
      </c>
      <c r="C43" s="92"/>
      <c r="D43" s="559">
        <f>'11'!C219</f>
        <v>0</v>
      </c>
      <c r="E43" s="190" t="s">
        <v>1140</v>
      </c>
    </row>
    <row r="44" spans="1:5" ht="15" thickBot="1" x14ac:dyDescent="0.35">
      <c r="A44" s="160" t="s">
        <v>1194</v>
      </c>
      <c r="B44" s="567" t="str">
        <f>CONCATENATE('1'!$C$8,"-",E44,".","10")</f>
        <v>TRAK-P.10</v>
      </c>
      <c r="C44" s="371"/>
      <c r="D44" s="568">
        <f>'11'!C235</f>
        <v>0</v>
      </c>
      <c r="E44" s="191" t="s">
        <v>1140</v>
      </c>
    </row>
    <row r="47" spans="1:5" x14ac:dyDescent="0.3">
      <c r="B47" s="2"/>
      <c r="C47" s="360" t="s">
        <v>1490</v>
      </c>
    </row>
    <row r="48" spans="1:5" ht="57.6" x14ac:dyDescent="0.3">
      <c r="B48" s="2">
        <v>1</v>
      </c>
      <c r="C48" s="335" t="s">
        <v>1626</v>
      </c>
    </row>
    <row r="49" spans="2:4" ht="100.8" x14ac:dyDescent="0.3">
      <c r="B49" s="1">
        <v>2</v>
      </c>
      <c r="C49" s="335" t="s">
        <v>1313</v>
      </c>
      <c r="D49" s="10"/>
    </row>
    <row r="50" spans="2:4" ht="100.8" x14ac:dyDescent="0.3">
      <c r="B50" s="1">
        <v>3</v>
      </c>
      <c r="C50" s="335" t="s">
        <v>1314</v>
      </c>
      <c r="D50" s="10"/>
    </row>
    <row r="51" spans="2:4" x14ac:dyDescent="0.3">
      <c r="B51" s="2">
        <v>4</v>
      </c>
      <c r="C51" s="335" t="s">
        <v>1309</v>
      </c>
      <c r="D51" s="10"/>
    </row>
    <row r="52" spans="2:4" x14ac:dyDescent="0.3">
      <c r="B52" s="1">
        <v>5</v>
      </c>
      <c r="C52" s="335" t="s">
        <v>1310</v>
      </c>
      <c r="D52" s="10"/>
    </row>
    <row r="53" spans="2:4" ht="28.8" x14ac:dyDescent="0.3">
      <c r="B53" s="1">
        <v>6</v>
      </c>
      <c r="C53" s="335" t="s">
        <v>1311</v>
      </c>
    </row>
    <row r="54" spans="2:4" ht="28.8" x14ac:dyDescent="0.3">
      <c r="B54" s="2">
        <v>7</v>
      </c>
      <c r="C54" s="335" t="s">
        <v>1312</v>
      </c>
    </row>
    <row r="55" spans="2:4" x14ac:dyDescent="0.3">
      <c r="C55" s="11"/>
    </row>
  </sheetData>
  <mergeCells count="1">
    <mergeCell ref="E7:E34"/>
  </mergeCells>
  <phoneticPr fontId="8" type="noConversion"/>
  <dataValidations count="1">
    <dataValidation type="textLength" allowBlank="1" showInputMessage="1" showErrorMessage="1" prompt="Maksimalus simbolių skaičius - 100" sqref="C35:C44" xr:uid="{00000000-0002-0000-0600-000000000000}">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6"/>
  <sheetViews>
    <sheetView zoomScaleNormal="100" workbookViewId="0">
      <selection activeCell="D13" sqref="D13"/>
    </sheetView>
  </sheetViews>
  <sheetFormatPr defaultColWidth="9.109375" defaultRowHeight="14.4" x14ac:dyDescent="0.3"/>
  <cols>
    <col min="1" max="1" width="8.6640625" style="106" customWidth="1"/>
    <col min="2" max="2" width="12.6640625" style="13" customWidth="1"/>
    <col min="3" max="3" width="70.6640625" style="13" customWidth="1"/>
    <col min="4" max="4" width="52.6640625" style="13" customWidth="1"/>
    <col min="5" max="7" width="15.6640625" customWidth="1"/>
    <col min="8" max="8" width="20.6640625" style="13" customWidth="1"/>
    <col min="9" max="9" width="25.6640625" style="13" customWidth="1"/>
    <col min="10" max="10" width="35.6640625" style="13" customWidth="1"/>
    <col min="11" max="11" width="8.6640625"/>
    <col min="12" max="12" width="12.6640625" style="13" hidden="1" customWidth="1"/>
    <col min="13" max="16384" width="9.109375" style="13"/>
  </cols>
  <sheetData>
    <row r="1" spans="1:12" s="38" customFormat="1" ht="18" x14ac:dyDescent="0.3">
      <c r="A1" s="169" t="s">
        <v>126</v>
      </c>
      <c r="B1" s="36" t="s">
        <v>397</v>
      </c>
      <c r="C1" s="36"/>
      <c r="D1" s="170"/>
      <c r="E1"/>
      <c r="F1"/>
      <c r="G1"/>
      <c r="H1" s="36"/>
      <c r="I1" s="36"/>
      <c r="J1" s="36"/>
    </row>
    <row r="2" spans="1:12" x14ac:dyDescent="0.3">
      <c r="A2" s="105"/>
      <c r="B2" s="1"/>
      <c r="C2" s="1"/>
      <c r="D2" s="1"/>
      <c r="H2" s="171"/>
      <c r="I2" s="171"/>
      <c r="J2" s="1"/>
    </row>
    <row r="3" spans="1:12" x14ac:dyDescent="0.3">
      <c r="A3" s="1"/>
      <c r="B3" s="140" t="s">
        <v>1272</v>
      </c>
      <c r="C3" s="205" t="str">
        <f>'1'!C8</f>
        <v>TRAK</v>
      </c>
      <c r="D3" s="1"/>
      <c r="H3" s="1"/>
      <c r="I3" s="1"/>
      <c r="J3" s="1"/>
    </row>
    <row r="4" spans="1:12" customFormat="1" ht="15" thickBot="1" x14ac:dyDescent="0.35">
      <c r="L4" s="13"/>
    </row>
    <row r="5" spans="1:12" x14ac:dyDescent="0.3">
      <c r="A5" s="105"/>
      <c r="B5" s="318">
        <v>1</v>
      </c>
      <c r="C5" s="319">
        <v>2</v>
      </c>
      <c r="D5" s="319">
        <v>3</v>
      </c>
      <c r="E5" s="319">
        <v>4</v>
      </c>
      <c r="F5" s="321">
        <v>5</v>
      </c>
      <c r="G5" s="162">
        <v>6</v>
      </c>
      <c r="H5" s="259">
        <v>7</v>
      </c>
      <c r="I5" s="162">
        <v>8</v>
      </c>
      <c r="J5" s="259">
        <v>9</v>
      </c>
      <c r="L5" s="228" t="s">
        <v>1316</v>
      </c>
    </row>
    <row r="6" spans="1:12" s="15" customFormat="1" ht="57.6" x14ac:dyDescent="0.3">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x14ac:dyDescent="0.3">
      <c r="A7" s="105" t="s">
        <v>150</v>
      </c>
      <c r="B7" s="575" t="s">
        <v>0</v>
      </c>
      <c r="C7" s="728" t="s">
        <v>1744</v>
      </c>
      <c r="D7" s="230" t="s">
        <v>1697</v>
      </c>
      <c r="E7" s="173">
        <f>HLOOKUP($B7,'10'!$D$6:$W$35,29,FALSE)</f>
        <v>8</v>
      </c>
      <c r="F7" s="576">
        <f>HLOOKUP($B7,'10'!$D$6:$W$35,28,FALSE)</f>
        <v>192000</v>
      </c>
      <c r="G7" s="626">
        <f t="shared" ref="G7:G26" si="0">IF(J7="Vietos projektų įgyvendinimo išlaidos",F7/$F$29*100,"-")</f>
        <v>16.054384226567496</v>
      </c>
      <c r="H7" s="172" t="str">
        <f>VLOOKUP(D7,Sąrašai!$A$8:$B$19,2,FALSE)</f>
        <v>LEADER-20VVG-09</v>
      </c>
      <c r="I7" s="172" t="str">
        <f>CONCATENATE('1'!$C$8,"-",H7,"-",L7)</f>
        <v>TRAK-LEADER-20VVG-09-01</v>
      </c>
      <c r="J7" s="174" t="str">
        <f>VLOOKUP(H7,Sąrašai!$B$8:$C$19,2,FALSE)</f>
        <v>Vietos projektų įgyvendinimo išlaidos</v>
      </c>
      <c r="L7" s="232" t="s">
        <v>1283</v>
      </c>
    </row>
    <row r="8" spans="1:12" x14ac:dyDescent="0.3">
      <c r="A8" s="105" t="s">
        <v>151</v>
      </c>
      <c r="B8" s="575" t="s">
        <v>1</v>
      </c>
      <c r="C8" s="728" t="s">
        <v>1743</v>
      </c>
      <c r="D8" s="230" t="s">
        <v>1697</v>
      </c>
      <c r="E8" s="173">
        <f>HLOOKUP($B8,'10'!$D$6:$W$35,29,FALSE)</f>
        <v>2</v>
      </c>
      <c r="F8" s="576">
        <f>HLOOKUP($B8,'10'!$D$6:$W$35,28,FALSE)</f>
        <v>23934</v>
      </c>
      <c r="G8" s="626">
        <f t="shared" si="0"/>
        <v>2.0012793337430548</v>
      </c>
      <c r="H8" s="172" t="str">
        <f>VLOOKUP(D8,Sąrašai!$A$8:$B$19,2,FALSE)</f>
        <v>LEADER-20VVG-09</v>
      </c>
      <c r="I8" s="172" t="str">
        <f>CONCATENATE('1'!$C$8,"-",H8,"-",L8)</f>
        <v>TRAK-LEADER-20VVG-09-02</v>
      </c>
      <c r="J8" s="174" t="str">
        <f>VLOOKUP(H8,Sąrašai!$B$8:$C$19,2,FALSE)</f>
        <v>Vietos projektų įgyvendinimo išlaidos</v>
      </c>
      <c r="L8" s="232" t="s">
        <v>1284</v>
      </c>
    </row>
    <row r="9" spans="1:12" ht="28.8" x14ac:dyDescent="0.3">
      <c r="A9" s="105" t="s">
        <v>152</v>
      </c>
      <c r="B9" s="575" t="s">
        <v>2</v>
      </c>
      <c r="C9" s="728" t="s">
        <v>1745</v>
      </c>
      <c r="D9" s="230" t="s">
        <v>1697</v>
      </c>
      <c r="E9" s="173">
        <f>HLOOKUP($B9,'10'!$D$6:$W$35,29,FALSE)</f>
        <v>8</v>
      </c>
      <c r="F9" s="576">
        <f>HLOOKUP($B9,'10'!$D$6:$W$35,28,FALSE)</f>
        <v>80000</v>
      </c>
      <c r="G9" s="626">
        <f t="shared" si="0"/>
        <v>6.6893267610697897</v>
      </c>
      <c r="H9" s="172" t="str">
        <f>VLOOKUP(D9,Sąrašai!$A$8:$B$19,2,FALSE)</f>
        <v>LEADER-20VVG-09</v>
      </c>
      <c r="I9" s="172" t="str">
        <f>CONCATENATE('1'!$C$8,"-",H9,"-",L9)</f>
        <v>TRAK-LEADER-20VVG-09-03</v>
      </c>
      <c r="J9" s="174" t="str">
        <f>VLOOKUP(H9,Sąrašai!$B$8:$C$19,2,FALSE)</f>
        <v>Vietos projektų įgyvendinimo išlaidos</v>
      </c>
      <c r="L9" s="232" t="s">
        <v>1285</v>
      </c>
    </row>
    <row r="10" spans="1:12" x14ac:dyDescent="0.3">
      <c r="A10" s="105" t="s">
        <v>517</v>
      </c>
      <c r="B10" s="575" t="s">
        <v>3</v>
      </c>
      <c r="C10" s="728" t="s">
        <v>1746</v>
      </c>
      <c r="D10" s="230" t="s">
        <v>36</v>
      </c>
      <c r="E10" s="173">
        <f>HLOOKUP($B10,'10'!$D$6:$W$35,29,FALSE)</f>
        <v>8</v>
      </c>
      <c r="F10" s="576">
        <f>HLOOKUP($B10,'10'!$D$6:$W$35,28,FALSE)</f>
        <v>80000</v>
      </c>
      <c r="G10" s="626">
        <f t="shared" si="0"/>
        <v>6.6893267610697897</v>
      </c>
      <c r="H10" s="172" t="str">
        <f>VLOOKUP(D10,Sąrašai!$A$8:$B$19,2,FALSE)</f>
        <v>LEADER-20VVG-10</v>
      </c>
      <c r="I10" s="172" t="str">
        <f>CONCATENATE('1'!$C$8,"-",H10,"-",L10)</f>
        <v>TRAK-LEADER-20VVG-10-04</v>
      </c>
      <c r="J10" s="174" t="str">
        <f>VLOOKUP(H10,Sąrašai!$B$8:$C$19,2,FALSE)</f>
        <v>Vietos projektų įgyvendinimo išlaidos</v>
      </c>
      <c r="L10" s="232" t="s">
        <v>1286</v>
      </c>
    </row>
    <row r="11" spans="1:12" x14ac:dyDescent="0.3">
      <c r="A11" s="105" t="s">
        <v>518</v>
      </c>
      <c r="B11" s="575" t="s">
        <v>4</v>
      </c>
      <c r="C11" s="728" t="s">
        <v>1747</v>
      </c>
      <c r="D11" s="230" t="s">
        <v>34</v>
      </c>
      <c r="E11" s="173">
        <f>HLOOKUP($B11,'10'!$D$6:$W$35,29,FALSE)</f>
        <v>2</v>
      </c>
      <c r="F11" s="576">
        <f>HLOOKUP($B11,'10'!$D$6:$W$35,28,FALSE)</f>
        <v>140000</v>
      </c>
      <c r="G11" s="626">
        <f t="shared" si="0"/>
        <v>11.706321831872133</v>
      </c>
      <c r="H11" s="172" t="str">
        <f>VLOOKUP(D11,Sąrašai!$A$8:$B$19,2,FALSE)</f>
        <v>LEADER-20VVG-05</v>
      </c>
      <c r="I11" s="172" t="str">
        <f>CONCATENATE('1'!$C$8,"-",H11,"-",L11)</f>
        <v>TRAK-LEADER-20VVG-05-05</v>
      </c>
      <c r="J11" s="174" t="str">
        <f>VLOOKUP(H11,Sąrašai!$B$8:$C$19,2,FALSE)</f>
        <v>Vietos projektų įgyvendinimo išlaidos</v>
      </c>
      <c r="L11" s="232" t="s">
        <v>1287</v>
      </c>
    </row>
    <row r="12" spans="1:12" ht="28.8" x14ac:dyDescent="0.3">
      <c r="A12" s="105" t="s">
        <v>519</v>
      </c>
      <c r="B12" s="575" t="s">
        <v>5</v>
      </c>
      <c r="C12" s="728" t="s">
        <v>1748</v>
      </c>
      <c r="D12" s="230" t="s">
        <v>1702</v>
      </c>
      <c r="E12" s="173">
        <f>HLOOKUP($B12,'10'!$D$6:$W$35,29,FALSE)</f>
        <v>1</v>
      </c>
      <c r="F12" s="576">
        <f>HLOOKUP($B12,'10'!$D$6:$W$35,28,FALSE)</f>
        <v>100001</v>
      </c>
      <c r="G12" s="626">
        <f t="shared" si="0"/>
        <v>8.3617420679217513</v>
      </c>
      <c r="H12" s="172" t="str">
        <f>VLOOKUP(D12,Sąrašai!$A$8:$B$19,2,FALSE)</f>
        <v>LEADER-20VVG-04</v>
      </c>
      <c r="I12" s="172" t="str">
        <f>CONCATENATE('1'!$C$8,"-",H12,"-",L12)</f>
        <v>TRAK-LEADER-20VVG-04-06</v>
      </c>
      <c r="J12" s="174" t="str">
        <f>VLOOKUP(H12,Sąrašai!$B$8:$C$19,2,FALSE)</f>
        <v>Vietos projektų įgyvendinimo išlaidos</v>
      </c>
      <c r="L12" s="232" t="s">
        <v>1288</v>
      </c>
    </row>
    <row r="13" spans="1:12" x14ac:dyDescent="0.3">
      <c r="A13" s="105" t="s">
        <v>520</v>
      </c>
      <c r="B13" s="575" t="s">
        <v>6</v>
      </c>
      <c r="C13" s="728" t="s">
        <v>1749</v>
      </c>
      <c r="D13" s="230" t="s">
        <v>33</v>
      </c>
      <c r="E13" s="173">
        <f>HLOOKUP($B13,'10'!$D$6:$W$35,29,FALSE)</f>
        <v>4</v>
      </c>
      <c r="F13" s="576">
        <f>HLOOKUP($B13,'10'!$D$6:$W$35,28,FALSE)</f>
        <v>280000</v>
      </c>
      <c r="G13" s="626">
        <f t="shared" si="0"/>
        <v>23.412643663744266</v>
      </c>
      <c r="H13" s="172" t="str">
        <f>VLOOKUP(D13,Sąrašai!$A$8:$B$19,2,FALSE)</f>
        <v>LEADER-20VVG-03</v>
      </c>
      <c r="I13" s="172" t="str">
        <f>CONCATENATE('1'!$C$8,"-",H13,"-",L13)</f>
        <v>TRAK-LEADER-20VVG-03-07</v>
      </c>
      <c r="J13" s="174" t="str">
        <f>VLOOKUP(H13,Sąrašai!$B$8:$C$19,2,FALSE)</f>
        <v>Vietos projektų įgyvendinimo išlaidos</v>
      </c>
      <c r="L13" s="232" t="s">
        <v>1289</v>
      </c>
    </row>
    <row r="14" spans="1:12" ht="28.8" x14ac:dyDescent="0.3">
      <c r="A14" s="105" t="s">
        <v>521</v>
      </c>
      <c r="B14" s="575" t="s">
        <v>7</v>
      </c>
      <c r="C14" s="728" t="s">
        <v>1750</v>
      </c>
      <c r="D14" s="230" t="s">
        <v>1695</v>
      </c>
      <c r="E14" s="173">
        <f>HLOOKUP($B14,'10'!$D$6:$W$35,29,FALSE)</f>
        <v>2</v>
      </c>
      <c r="F14" s="576">
        <f>HLOOKUP($B14,'10'!$D$6:$W$35,28,FALSE)</f>
        <v>200000</v>
      </c>
      <c r="G14" s="626">
        <f t="shared" si="0"/>
        <v>16.723316902674476</v>
      </c>
      <c r="H14" s="172" t="str">
        <f>VLOOKUP(D14,Sąrašai!$A$8:$B$19,2,FALSE)</f>
        <v>LEADER-20VVG-06</v>
      </c>
      <c r="I14" s="172" t="str">
        <f>CONCATENATE('1'!$C$8,"-",H14,"-",L14)</f>
        <v>TRAK-LEADER-20VVG-06-08</v>
      </c>
      <c r="J14" s="174" t="str">
        <f>VLOOKUP(H14,Sąrašai!$B$8:$C$19,2,FALSE)</f>
        <v>Vietos projektų įgyvendinimo išlaidos</v>
      </c>
      <c r="L14" s="232" t="s">
        <v>1290</v>
      </c>
    </row>
    <row r="15" spans="1:12" x14ac:dyDescent="0.3">
      <c r="A15" s="105" t="s">
        <v>522</v>
      </c>
      <c r="B15" s="575" t="s">
        <v>8</v>
      </c>
      <c r="C15" s="728" t="s">
        <v>1751</v>
      </c>
      <c r="D15" s="230" t="s">
        <v>1696</v>
      </c>
      <c r="E15" s="173">
        <f>HLOOKUP($B15,'10'!$D$6:$W$35,29,FALSE)</f>
        <v>1</v>
      </c>
      <c r="F15" s="576">
        <f>HLOOKUP($B15,'10'!$D$6:$W$35,28,FALSE)</f>
        <v>100000</v>
      </c>
      <c r="G15" s="626">
        <f t="shared" si="0"/>
        <v>8.3616584513372381</v>
      </c>
      <c r="H15" s="172" t="str">
        <f>VLOOKUP(D15,Sąrašai!$A$8:$B$19,2,FALSE)</f>
        <v>LEADER-20VVG-07</v>
      </c>
      <c r="I15" s="172" t="str">
        <f>CONCATENATE('1'!$C$8,"-",H15,"-",L15)</f>
        <v>TRAK-LEADER-20VVG-07-09</v>
      </c>
      <c r="J15" s="174" t="str">
        <f>VLOOKUP(H15,Sąrašai!$B$8:$C$19,2,FALSE)</f>
        <v>Vietos projektų įgyvendinimo išlaidos</v>
      </c>
      <c r="L15" s="232" t="s">
        <v>1291</v>
      </c>
    </row>
    <row r="16" spans="1:12" x14ac:dyDescent="0.3">
      <c r="A16" s="105" t="s">
        <v>523</v>
      </c>
      <c r="B16" s="575" t="s">
        <v>9</v>
      </c>
      <c r="C16" s="728" t="s">
        <v>1752</v>
      </c>
      <c r="D16" s="230" t="s">
        <v>39</v>
      </c>
      <c r="E16" s="173">
        <f>HLOOKUP($B16,'10'!$D$6:$W$35,29,FALSE)</f>
        <v>1</v>
      </c>
      <c r="F16" s="576">
        <f>HLOOKUP($B16,'10'!$D$6:$W$35,28,FALSE)</f>
        <v>10000</v>
      </c>
      <c r="G16" s="626" t="str">
        <f t="shared" si="0"/>
        <v>-</v>
      </c>
      <c r="H16" s="172" t="str">
        <f>VLOOKUP(D16,Sąrašai!$A$8:$B$19,2,FALSE)</f>
        <v>LEADER-20VVG-12</v>
      </c>
      <c r="I16" s="172" t="str">
        <f>CONCATENATE('1'!$C$8,"-",H16,"-",L16)</f>
        <v>TRAK-LEADER-20VVG-12-10</v>
      </c>
      <c r="J16" s="174" t="str">
        <f>VLOOKUP(H16,Sąrašai!$B$8:$C$19,2,FALSE)</f>
        <v>VPS administravimo išlaidos</v>
      </c>
      <c r="K16" s="13"/>
      <c r="L16" s="121">
        <v>10</v>
      </c>
    </row>
    <row r="17" spans="1:12" x14ac:dyDescent="0.3">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x14ac:dyDescent="0.3">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x14ac:dyDescent="0.3">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x14ac:dyDescent="0.3">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x14ac:dyDescent="0.3">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x14ac:dyDescent="0.3">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x14ac:dyDescent="0.3">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x14ac:dyDescent="0.3">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x14ac:dyDescent="0.3">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x14ac:dyDescent="0.3">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x14ac:dyDescent="0.3">
      <c r="A27" s="105" t="s">
        <v>534</v>
      </c>
      <c r="B27" s="577"/>
      <c r="C27" s="140" t="s">
        <v>219</v>
      </c>
      <c r="D27" s="140"/>
      <c r="E27" s="175">
        <f>SUM(E7:E26)</f>
        <v>37</v>
      </c>
      <c r="F27" s="578">
        <f>SUM(F7:F26)</f>
        <v>1205935</v>
      </c>
      <c r="G27" s="627" t="s">
        <v>149</v>
      </c>
      <c r="H27" s="140"/>
      <c r="I27" s="140"/>
      <c r="J27" s="140"/>
      <c r="L27" s="231"/>
    </row>
    <row r="28" spans="1:12" s="138" customFormat="1" x14ac:dyDescent="0.3">
      <c r="A28" s="105" t="s">
        <v>535</v>
      </c>
      <c r="B28" s="577"/>
      <c r="C28" s="140" t="s">
        <v>369</v>
      </c>
      <c r="D28" s="140"/>
      <c r="E28" s="175">
        <f>E27-E29</f>
        <v>1</v>
      </c>
      <c r="F28" s="578">
        <f>F27-F29</f>
        <v>10000</v>
      </c>
      <c r="G28" s="627"/>
      <c r="H28" s="140"/>
      <c r="I28" s="140"/>
      <c r="J28" s="140"/>
      <c r="L28" s="231"/>
    </row>
    <row r="29" spans="1:12" ht="15" thickBot="1" x14ac:dyDescent="0.35">
      <c r="A29" s="105" t="s">
        <v>536</v>
      </c>
      <c r="B29" s="579"/>
      <c r="C29" s="328" t="s">
        <v>370</v>
      </c>
      <c r="D29" s="580"/>
      <c r="E29" s="581">
        <f>SUMIFS($E$7:$E$26,$J$7:$J$26,"Vietos projektų įgyvendinimo išlaidos")</f>
        <v>36</v>
      </c>
      <c r="F29" s="629">
        <f>SUMIFS($F$7:$F$26,$J$7:$J$26,"Vietos projektų įgyvendinimo išlaidos")</f>
        <v>1195935</v>
      </c>
      <c r="G29" s="628">
        <v>100</v>
      </c>
      <c r="H29" s="30"/>
      <c r="I29" s="30"/>
      <c r="J29" s="140"/>
      <c r="L29" s="231"/>
    </row>
    <row r="32" spans="1:12" x14ac:dyDescent="0.3">
      <c r="B32" s="1"/>
      <c r="C32" s="602" t="s">
        <v>1482</v>
      </c>
    </row>
    <row r="33" spans="2:3" ht="57.6" x14ac:dyDescent="0.3">
      <c r="B33" s="1">
        <v>1</v>
      </c>
      <c r="C33" s="335" t="s">
        <v>1592</v>
      </c>
    </row>
    <row r="34" spans="2:3" ht="28.8" x14ac:dyDescent="0.3">
      <c r="B34" s="1">
        <v>2</v>
      </c>
      <c r="C34" s="335" t="s">
        <v>1481</v>
      </c>
    </row>
    <row r="35" spans="2:3" ht="43.2" x14ac:dyDescent="0.3">
      <c r="B35" s="1">
        <v>3</v>
      </c>
      <c r="C35" s="335" t="s">
        <v>1317</v>
      </c>
    </row>
    <row r="36" spans="2:3" ht="28.8" x14ac:dyDescent="0.3">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xr:uid="{00000000-0002-0000-0700-000000000000}">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zoomScaleNormal="100" workbookViewId="0">
      <selection activeCell="F13" sqref="F13"/>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15" width="12.6640625" style="10" customWidth="1"/>
    <col min="16" max="21" width="15.6640625" style="10" customWidth="1"/>
    <col min="22" max="16384" width="9.109375" style="10"/>
  </cols>
  <sheetData>
    <row r="1" spans="1:15" s="51" customFormat="1" ht="18" x14ac:dyDescent="0.35">
      <c r="A1" s="39" t="s">
        <v>125</v>
      </c>
      <c r="B1" s="39" t="s">
        <v>396</v>
      </c>
      <c r="C1" s="39"/>
      <c r="D1" s="118"/>
      <c r="E1" s="120"/>
      <c r="F1" s="39"/>
      <c r="G1" s="39"/>
      <c r="H1" s="39"/>
      <c r="I1" s="39"/>
      <c r="J1" s="39"/>
      <c r="K1" s="39"/>
      <c r="L1" s="39"/>
      <c r="M1" s="39"/>
      <c r="N1" s="39"/>
    </row>
    <row r="2" spans="1:15" x14ac:dyDescent="0.3">
      <c r="A2"/>
      <c r="B2"/>
      <c r="C2"/>
      <c r="D2" s="8"/>
      <c r="E2"/>
      <c r="F2"/>
      <c r="G2"/>
      <c r="H2"/>
      <c r="I2"/>
      <c r="J2"/>
      <c r="K2"/>
      <c r="L2"/>
      <c r="M2"/>
      <c r="N2"/>
    </row>
    <row r="3" spans="1:15" s="13" customFormat="1" x14ac:dyDescent="0.3">
      <c r="A3" s="1"/>
      <c r="B3" s="140" t="s">
        <v>1272</v>
      </c>
      <c r="C3" s="205" t="str">
        <f>'1'!C8</f>
        <v>TRAK</v>
      </c>
    </row>
    <row r="4" spans="1:15" customFormat="1" ht="15" thickBot="1" x14ac:dyDescent="0.35"/>
    <row r="5" spans="1:15" x14ac:dyDescent="0.3">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3.2" x14ac:dyDescent="0.3">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3">
      <c r="A7" t="s">
        <v>167</v>
      </c>
      <c r="B7" s="278" t="s">
        <v>0</v>
      </c>
      <c r="C7" s="656" t="str">
        <f>'7'!C7</f>
        <v>Kraštovaizdžio išsaugojimas ir pritaikymas poilsiui, sveikatinimui, turzmui</v>
      </c>
      <c r="D7" s="657">
        <f>COUNTIFS($E7:$N7,"taip")</f>
        <v>3</v>
      </c>
      <c r="E7" s="659" t="s">
        <v>77</v>
      </c>
      <c r="F7" s="659" t="s">
        <v>76</v>
      </c>
      <c r="G7" s="659" t="s">
        <v>76</v>
      </c>
      <c r="H7" s="659" t="s">
        <v>77</v>
      </c>
      <c r="I7" s="659" t="s">
        <v>77</v>
      </c>
      <c r="J7" s="659" t="s">
        <v>76</v>
      </c>
      <c r="K7" s="659" t="s">
        <v>76</v>
      </c>
      <c r="L7" s="659" t="s">
        <v>76</v>
      </c>
      <c r="M7" s="659" t="s">
        <v>76</v>
      </c>
      <c r="N7" s="660" t="s">
        <v>76</v>
      </c>
      <c r="O7" s="631" t="str">
        <f>IF(D7&lt;4,"Gerai","Per daug tikslų")</f>
        <v>Gerai</v>
      </c>
    </row>
    <row r="8" spans="1:15" x14ac:dyDescent="0.3">
      <c r="A8" t="s">
        <v>168</v>
      </c>
      <c r="B8" s="278" t="s">
        <v>1</v>
      </c>
      <c r="C8" s="656" t="str">
        <f>'7'!C8</f>
        <v>Tvarios aplinkos kūrimas, aplinkosauginio sąmoningumo didinimas</v>
      </c>
      <c r="D8" s="657">
        <f t="shared" ref="D8:D26" si="0">COUNTIFS($E8:$N8,"taip")</f>
        <v>3</v>
      </c>
      <c r="E8" s="659" t="s">
        <v>77</v>
      </c>
      <c r="F8" s="659" t="s">
        <v>76</v>
      </c>
      <c r="G8" s="659" t="s">
        <v>76</v>
      </c>
      <c r="H8" s="659" t="s">
        <v>76</v>
      </c>
      <c r="I8" s="659" t="s">
        <v>77</v>
      </c>
      <c r="J8" s="659" t="s">
        <v>77</v>
      </c>
      <c r="K8" s="659" t="s">
        <v>76</v>
      </c>
      <c r="L8" s="659" t="s">
        <v>76</v>
      </c>
      <c r="M8" s="659" t="s">
        <v>76</v>
      </c>
      <c r="N8" s="660" t="s">
        <v>76</v>
      </c>
      <c r="O8" s="631" t="str">
        <f t="shared" ref="O8:O26" si="1">IF(D8&lt;4,"Gerai","Per daug tikslų")</f>
        <v>Gerai</v>
      </c>
    </row>
    <row r="9" spans="1:15" x14ac:dyDescent="0.3">
      <c r="A9" t="s">
        <v>169</v>
      </c>
      <c r="B9" s="278" t="s">
        <v>2</v>
      </c>
      <c r="C9" s="656" t="str">
        <f>'7'!C9</f>
        <v>Jaunimo ir su jaunimu dirbančių organizacijų stiprinimas, jaunimo užimtumo įvairinimas</v>
      </c>
      <c r="D9" s="657">
        <f t="shared" si="0"/>
        <v>2</v>
      </c>
      <c r="E9" s="659" t="s">
        <v>77</v>
      </c>
      <c r="F9" s="659" t="s">
        <v>76</v>
      </c>
      <c r="G9" s="659" t="s">
        <v>76</v>
      </c>
      <c r="H9" s="659" t="s">
        <v>76</v>
      </c>
      <c r="I9" s="659" t="s">
        <v>76</v>
      </c>
      <c r="J9" s="659" t="s">
        <v>77</v>
      </c>
      <c r="K9" s="659" t="s">
        <v>76</v>
      </c>
      <c r="L9" s="659" t="s">
        <v>76</v>
      </c>
      <c r="M9" s="659" t="s">
        <v>76</v>
      </c>
      <c r="N9" s="660" t="s">
        <v>76</v>
      </c>
      <c r="O9" s="631" t="str">
        <f t="shared" si="1"/>
        <v>Gerai</v>
      </c>
    </row>
    <row r="10" spans="1:15" x14ac:dyDescent="0.3">
      <c r="A10" t="s">
        <v>170</v>
      </c>
      <c r="B10" s="278" t="s">
        <v>3</v>
      </c>
      <c r="C10" s="656" t="str">
        <f>'7'!C10</f>
        <v>Potencialių pareiškėjų ir projektų vykdytojų mokymai</v>
      </c>
      <c r="D10" s="657">
        <f t="shared" si="0"/>
        <v>3</v>
      </c>
      <c r="E10" s="659" t="s">
        <v>77</v>
      </c>
      <c r="F10" s="659" t="s">
        <v>77</v>
      </c>
      <c r="G10" s="659" t="s">
        <v>77</v>
      </c>
      <c r="H10" s="659" t="s">
        <v>76</v>
      </c>
      <c r="I10" s="659" t="s">
        <v>76</v>
      </c>
      <c r="J10" s="659" t="s">
        <v>76</v>
      </c>
      <c r="K10" s="659" t="s">
        <v>76</v>
      </c>
      <c r="L10" s="659" t="s">
        <v>76</v>
      </c>
      <c r="M10" s="659" t="s">
        <v>76</v>
      </c>
      <c r="N10" s="660" t="s">
        <v>76</v>
      </c>
      <c r="O10" s="631" t="str">
        <f t="shared" si="1"/>
        <v>Gerai</v>
      </c>
    </row>
    <row r="11" spans="1:15" x14ac:dyDescent="0.3">
      <c r="A11" t="s">
        <v>171</v>
      </c>
      <c r="B11" s="278" t="s">
        <v>4</v>
      </c>
      <c r="C11" s="656" t="str">
        <f>'7'!C11</f>
        <v>Skaitmeninių, informacinių, komunikacinių technologijų taikymas versle</v>
      </c>
      <c r="D11" s="657">
        <f t="shared" si="0"/>
        <v>3</v>
      </c>
      <c r="E11" s="659" t="s">
        <v>77</v>
      </c>
      <c r="F11" s="659" t="s">
        <v>77</v>
      </c>
      <c r="G11" s="659" t="s">
        <v>77</v>
      </c>
      <c r="H11" s="659" t="s">
        <v>76</v>
      </c>
      <c r="I11" s="659" t="s">
        <v>76</v>
      </c>
      <c r="J11" s="659" t="s">
        <v>76</v>
      </c>
      <c r="K11" s="659" t="s">
        <v>76</v>
      </c>
      <c r="L11" s="659" t="s">
        <v>76</v>
      </c>
      <c r="M11" s="659" t="s">
        <v>76</v>
      </c>
      <c r="N11" s="660" t="s">
        <v>76</v>
      </c>
      <c r="O11" s="631" t="str">
        <f t="shared" si="1"/>
        <v>Gerai</v>
      </c>
    </row>
    <row r="12" spans="1:15" x14ac:dyDescent="0.3">
      <c r="A12" t="s">
        <v>172</v>
      </c>
      <c r="B12" s="278" t="s">
        <v>5</v>
      </c>
      <c r="C12" s="656" t="str">
        <f>'7'!C12</f>
        <v>Vietos produktų /paslaugų kūrimas ir (ar) populiarinimas taikant inovacijas</v>
      </c>
      <c r="D12" s="657">
        <f t="shared" si="0"/>
        <v>3</v>
      </c>
      <c r="E12" s="659" t="s">
        <v>77</v>
      </c>
      <c r="F12" s="659" t="s">
        <v>77</v>
      </c>
      <c r="G12" s="659" t="s">
        <v>76</v>
      </c>
      <c r="H12" s="659" t="s">
        <v>76</v>
      </c>
      <c r="I12" s="659" t="s">
        <v>76</v>
      </c>
      <c r="J12" s="659" t="s">
        <v>77</v>
      </c>
      <c r="K12" s="659" t="s">
        <v>76</v>
      </c>
      <c r="L12" s="659" t="s">
        <v>76</v>
      </c>
      <c r="M12" s="659" t="s">
        <v>76</v>
      </c>
      <c r="N12" s="660" t="s">
        <v>76</v>
      </c>
      <c r="O12" s="631" t="str">
        <f t="shared" si="1"/>
        <v>Gerai</v>
      </c>
    </row>
    <row r="13" spans="1:15" x14ac:dyDescent="0.3">
      <c r="A13" t="s">
        <v>173</v>
      </c>
      <c r="B13" s="278" t="s">
        <v>6</v>
      </c>
      <c r="C13" s="656" t="str">
        <f>'7'!C13</f>
        <v>Paslaugų įvairinimas/kūrimas, stiprinant materialinę bazę ir (ar) kompetencijas</v>
      </c>
      <c r="D13" s="657">
        <f t="shared" si="0"/>
        <v>3</v>
      </c>
      <c r="E13" s="659" t="s">
        <v>77</v>
      </c>
      <c r="F13" s="659" t="s">
        <v>77</v>
      </c>
      <c r="G13" s="659" t="s">
        <v>76</v>
      </c>
      <c r="H13" s="659" t="s">
        <v>76</v>
      </c>
      <c r="I13" s="659" t="s">
        <v>76</v>
      </c>
      <c r="J13" s="659" t="s">
        <v>77</v>
      </c>
      <c r="K13" s="659" t="s">
        <v>76</v>
      </c>
      <c r="L13" s="659" t="s">
        <v>76</v>
      </c>
      <c r="M13" s="659" t="s">
        <v>76</v>
      </c>
      <c r="N13" s="660" t="s">
        <v>76</v>
      </c>
      <c r="O13" s="631" t="str">
        <f t="shared" si="1"/>
        <v>Gerai</v>
      </c>
    </row>
    <row r="14" spans="1:15" x14ac:dyDescent="0.3">
      <c r="A14" t="s">
        <v>92</v>
      </c>
      <c r="B14" s="278" t="s">
        <v>7</v>
      </c>
      <c r="C14" s="656" t="str">
        <f>'7'!C14</f>
        <v xml:space="preserve">Vietos gyventojų socialinio aktyvumo bei verslumo skatinimas įtraukiant pažeidžiamas grupes </v>
      </c>
      <c r="D14" s="657">
        <f t="shared" si="0"/>
        <v>3</v>
      </c>
      <c r="E14" s="659" t="s">
        <v>77</v>
      </c>
      <c r="F14" s="659" t="s">
        <v>77</v>
      </c>
      <c r="G14" s="659" t="s">
        <v>76</v>
      </c>
      <c r="H14" s="659" t="s">
        <v>76</v>
      </c>
      <c r="I14" s="659" t="s">
        <v>76</v>
      </c>
      <c r="J14" s="659" t="s">
        <v>77</v>
      </c>
      <c r="K14" s="659" t="s">
        <v>76</v>
      </c>
      <c r="L14" s="659" t="s">
        <v>76</v>
      </c>
      <c r="M14" s="659" t="s">
        <v>76</v>
      </c>
      <c r="N14" s="660" t="s">
        <v>76</v>
      </c>
      <c r="O14" s="631" t="str">
        <f t="shared" si="1"/>
        <v>Gerai</v>
      </c>
    </row>
    <row r="15" spans="1:15" x14ac:dyDescent="0.3">
      <c r="A15" t="s">
        <v>174</v>
      </c>
      <c r="B15" s="278" t="s">
        <v>8</v>
      </c>
      <c r="C15" s="656" t="str">
        <f>'7'!C15</f>
        <v>Bendruomeninio verslo kūrimas skatinant savanorystę</v>
      </c>
      <c r="D15" s="657">
        <f t="shared" si="0"/>
        <v>3</v>
      </c>
      <c r="E15" s="659" t="s">
        <v>77</v>
      </c>
      <c r="F15" s="659" t="s">
        <v>76</v>
      </c>
      <c r="G15" s="659" t="s">
        <v>76</v>
      </c>
      <c r="H15" s="659" t="s">
        <v>77</v>
      </c>
      <c r="I15" s="659" t="s">
        <v>76</v>
      </c>
      <c r="J15" s="659" t="s">
        <v>77</v>
      </c>
      <c r="K15" s="659" t="s">
        <v>76</v>
      </c>
      <c r="L15" s="659" t="s">
        <v>76</v>
      </c>
      <c r="M15" s="659" t="s">
        <v>76</v>
      </c>
      <c r="N15" s="660" t="s">
        <v>76</v>
      </c>
      <c r="O15" s="631" t="str">
        <f t="shared" si="1"/>
        <v>Gerai</v>
      </c>
    </row>
    <row r="16" spans="1:15" x14ac:dyDescent="0.3">
      <c r="A16" t="s">
        <v>175</v>
      </c>
      <c r="B16" s="278" t="s">
        <v>9</v>
      </c>
      <c r="C16" s="656" t="str">
        <f>'7'!C16</f>
        <v>Tarptautinis, teritorinis bendradarbiavimas</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x14ac:dyDescent="0.3">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x14ac:dyDescent="0.3">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x14ac:dyDescent="0.3">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x14ac:dyDescent="0.3">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x14ac:dyDescent="0.3">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x14ac:dyDescent="0.3">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x14ac:dyDescent="0.3">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x14ac:dyDescent="0.3">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x14ac:dyDescent="0.3">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 thickBot="1" x14ac:dyDescent="0.35">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x14ac:dyDescent="0.3">
      <c r="B29"/>
      <c r="C29" s="604" t="s">
        <v>1493</v>
      </c>
    </row>
    <row r="30" spans="1:15" ht="115.2" x14ac:dyDescent="0.3">
      <c r="B30" s="1">
        <v>1</v>
      </c>
      <c r="C30" s="335" t="s">
        <v>1627</v>
      </c>
    </row>
    <row r="31" spans="1:15" x14ac:dyDescent="0.3">
      <c r="B31" s="1">
        <v>2</v>
      </c>
      <c r="C31" s="216" t="s">
        <v>1495</v>
      </c>
    </row>
    <row r="32" spans="1:15" ht="28.8" x14ac:dyDescent="0.3">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3"/>
  <sheetViews>
    <sheetView topLeftCell="A11" zoomScale="118" zoomScaleNormal="118" workbookViewId="0">
      <selection activeCell="E16" sqref="E16"/>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24" width="15.6640625" style="10" customWidth="1"/>
    <col min="25" max="25" width="18.6640625" style="10" customWidth="1"/>
    <col min="26" max="16384" width="9.109375" style="10"/>
  </cols>
  <sheetData>
    <row r="1" spans="1:25" s="51" customFormat="1" ht="18" x14ac:dyDescent="0.35">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3">
      <c r="A2"/>
      <c r="B2"/>
      <c r="C2"/>
      <c r="D2" s="8"/>
      <c r="E2"/>
      <c r="F2"/>
      <c r="G2"/>
      <c r="H2"/>
      <c r="I2"/>
      <c r="J2"/>
      <c r="K2"/>
      <c r="L2"/>
      <c r="M2"/>
      <c r="N2"/>
      <c r="O2"/>
      <c r="P2"/>
      <c r="Q2"/>
      <c r="R2"/>
      <c r="S2"/>
      <c r="T2"/>
      <c r="U2"/>
      <c r="V2"/>
      <c r="W2"/>
      <c r="X2"/>
    </row>
    <row r="3" spans="1:25" s="13" customFormat="1" x14ac:dyDescent="0.3">
      <c r="A3" s="1"/>
      <c r="B3" s="140" t="s">
        <v>1272</v>
      </c>
      <c r="C3" s="205" t="str">
        <f>'1'!C8</f>
        <v>TRAK</v>
      </c>
    </row>
    <row r="4" spans="1:25" customFormat="1" x14ac:dyDescent="0.3"/>
    <row r="5" spans="1:25" s="81" customFormat="1" x14ac:dyDescent="0.3">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3">
      <c r="A6" s="84"/>
      <c r="B6" s="739" t="s">
        <v>54</v>
      </c>
      <c r="C6" s="741" t="s">
        <v>53</v>
      </c>
      <c r="D6" s="739"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x14ac:dyDescent="0.3">
      <c r="A7" s="84"/>
      <c r="B7" s="740"/>
      <c r="C7" s="742"/>
      <c r="D7" s="740"/>
      <c r="E7" s="667" t="str">
        <f>'3'!C7</f>
        <v>Pritaikyti  kraštovaizdį,  kultūros ir gamtos paveldą laisvalaikio, vaikų užimtumo, sveikatingumo, turizmo veikloms.</v>
      </c>
      <c r="F7" s="667" t="str">
        <f>'3'!C8</f>
        <v>Stiprinti smulkiuosius verslus, taikant  inovatyvius ir/ar tvarius sprendimus, diegiant skaitmenizavimą.</v>
      </c>
      <c r="G7" s="667" t="str">
        <f>'3'!C9</f>
        <v>Stiprinti jaunimo, kaimo bendruomenių, kitų nevyriausybinių organizacijų iniciatyvas, skatinant verslumą, savanorystę, tvarų vartojimą</v>
      </c>
      <c r="H7" s="667" t="str">
        <f>'3'!C10</f>
        <v>Skatinti bendradarbiavimą tarp sektorių, ūkio subjektų populiarinant savo kraštą.</v>
      </c>
      <c r="I7" s="667" t="str">
        <f>'3'!C11</f>
        <v>Gerinti paslaugų kokybę,  didinti prieinamumą  ir įvairovę visoms  amžiaus ir/ar  socialiai pažeidžiamoms gyventojų grupėms.</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x14ac:dyDescent="0.3">
      <c r="A8" t="s">
        <v>106</v>
      </c>
      <c r="B8" s="655" t="s">
        <v>0</v>
      </c>
      <c r="C8" s="656" t="str">
        <f>'7'!C7</f>
        <v>Kraštovaizdžio išsaugojimas ir pritaikymas poilsiui, sveikatinimui, turzmui</v>
      </c>
      <c r="D8" s="657">
        <f>COUNTIFS($E8:$X8,"taip")</f>
        <v>3</v>
      </c>
      <c r="E8" s="654" t="s">
        <v>77</v>
      </c>
      <c r="F8" s="654" t="s">
        <v>76</v>
      </c>
      <c r="G8" s="654" t="s">
        <v>77</v>
      </c>
      <c r="H8" s="654" t="s">
        <v>77</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x14ac:dyDescent="0.3">
      <c r="A9" t="s">
        <v>107</v>
      </c>
      <c r="B9" s="655" t="s">
        <v>1</v>
      </c>
      <c r="C9" s="656" t="str">
        <f>'7'!C8</f>
        <v>Tvarios aplinkos kūrimas, aplinkosauginio sąmoningumo didinimas</v>
      </c>
      <c r="D9" s="657">
        <f t="shared" ref="D9:D27" si="0">COUNTIFS($E9:$X9,"taip")</f>
        <v>3</v>
      </c>
      <c r="E9" s="654" t="s">
        <v>77</v>
      </c>
      <c r="F9" s="654" t="s">
        <v>76</v>
      </c>
      <c r="G9" s="654" t="s">
        <v>77</v>
      </c>
      <c r="H9" s="654" t="s">
        <v>77</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x14ac:dyDescent="0.3">
      <c r="A10" t="s">
        <v>108</v>
      </c>
      <c r="B10" s="655" t="s">
        <v>2</v>
      </c>
      <c r="C10" s="656" t="str">
        <f>'7'!C9</f>
        <v>Jaunimo ir su jaunimu dirbančių organizacijų stiprinimas, jaunimo užimtumo įvairinimas</v>
      </c>
      <c r="D10" s="657">
        <f t="shared" si="0"/>
        <v>3</v>
      </c>
      <c r="E10" s="654" t="s">
        <v>77</v>
      </c>
      <c r="F10" s="654" t="s">
        <v>77</v>
      </c>
      <c r="G10" s="654" t="s">
        <v>77</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x14ac:dyDescent="0.3">
      <c r="A11" t="s">
        <v>109</v>
      </c>
      <c r="B11" s="655" t="s">
        <v>3</v>
      </c>
      <c r="C11" s="656" t="str">
        <f>'7'!C10</f>
        <v>Potencialių pareiškėjų ir projektų vykdytojų mokymai</v>
      </c>
      <c r="D11" s="657">
        <f t="shared" si="0"/>
        <v>3</v>
      </c>
      <c r="E11" s="654" t="s">
        <v>77</v>
      </c>
      <c r="F11" s="654" t="s">
        <v>77</v>
      </c>
      <c r="G11" s="654" t="s">
        <v>77</v>
      </c>
      <c r="H11" s="654" t="s">
        <v>76</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x14ac:dyDescent="0.3">
      <c r="A12" t="s">
        <v>110</v>
      </c>
      <c r="B12" s="655" t="s">
        <v>4</v>
      </c>
      <c r="C12" s="656" t="str">
        <f>'7'!C11</f>
        <v>Skaitmeninių, informacinių, komunikacinių technologijų taikymas versle</v>
      </c>
      <c r="D12" s="657">
        <f t="shared" si="0"/>
        <v>3</v>
      </c>
      <c r="E12" s="654" t="s">
        <v>76</v>
      </c>
      <c r="F12" s="654" t="s">
        <v>77</v>
      </c>
      <c r="G12" s="654" t="s">
        <v>77</v>
      </c>
      <c r="H12" s="654" t="s">
        <v>76</v>
      </c>
      <c r="I12" s="654" t="s">
        <v>77</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x14ac:dyDescent="0.3">
      <c r="A13" t="s">
        <v>111</v>
      </c>
      <c r="B13" s="655" t="s">
        <v>5</v>
      </c>
      <c r="C13" s="656" t="str">
        <f>'7'!C12</f>
        <v>Vietos produktų /paslaugų kūrimas ir (ar) populiarinimas taikant inovacijas</v>
      </c>
      <c r="D13" s="657">
        <f t="shared" si="0"/>
        <v>3</v>
      </c>
      <c r="E13" s="654" t="s">
        <v>76</v>
      </c>
      <c r="F13" s="654" t="s">
        <v>77</v>
      </c>
      <c r="G13" s="654" t="s">
        <v>77</v>
      </c>
      <c r="H13" s="654" t="s">
        <v>77</v>
      </c>
      <c r="I13" s="654" t="s">
        <v>76</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Gerai</v>
      </c>
    </row>
    <row r="14" spans="1:25" x14ac:dyDescent="0.3">
      <c r="A14" t="s">
        <v>112</v>
      </c>
      <c r="B14" s="655" t="s">
        <v>6</v>
      </c>
      <c r="C14" s="656" t="str">
        <f>'7'!C13</f>
        <v>Paslaugų įvairinimas/kūrimas, stiprinant materialinę bazę ir (ar) kompetencijas</v>
      </c>
      <c r="D14" s="657">
        <f t="shared" si="0"/>
        <v>3</v>
      </c>
      <c r="E14" s="654" t="s">
        <v>76</v>
      </c>
      <c r="F14" s="654" t="s">
        <v>76</v>
      </c>
      <c r="G14" s="654" t="s">
        <v>77</v>
      </c>
      <c r="H14" s="654" t="s">
        <v>77</v>
      </c>
      <c r="I14" s="654" t="s">
        <v>77</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Gerai</v>
      </c>
    </row>
    <row r="15" spans="1:25" x14ac:dyDescent="0.3">
      <c r="A15" t="s">
        <v>113</v>
      </c>
      <c r="B15" s="655" t="s">
        <v>7</v>
      </c>
      <c r="C15" s="656" t="str">
        <f>'7'!C14</f>
        <v xml:space="preserve">Vietos gyventojų socialinio aktyvumo bei verslumo skatinimas įtraukiant pažeidžiamas grupes </v>
      </c>
      <c r="D15" s="657">
        <f t="shared" si="0"/>
        <v>3</v>
      </c>
      <c r="E15" s="654" t="s">
        <v>76</v>
      </c>
      <c r="F15" s="654" t="s">
        <v>76</v>
      </c>
      <c r="G15" s="654" t="s">
        <v>77</v>
      </c>
      <c r="H15" s="654" t="s">
        <v>77</v>
      </c>
      <c r="I15" s="654" t="s">
        <v>77</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x14ac:dyDescent="0.3">
      <c r="A16" t="s">
        <v>93</v>
      </c>
      <c r="B16" s="655" t="s">
        <v>8</v>
      </c>
      <c r="C16" s="656" t="str">
        <f>'7'!C15</f>
        <v>Bendruomeninio verslo kūrimas skatinant savanorystę</v>
      </c>
      <c r="D16" s="657">
        <f t="shared" si="0"/>
        <v>2</v>
      </c>
      <c r="E16" s="654" t="s">
        <v>76</v>
      </c>
      <c r="F16" s="654" t="s">
        <v>76</v>
      </c>
      <c r="G16" s="654" t="s">
        <v>77</v>
      </c>
      <c r="H16" s="654" t="s">
        <v>76</v>
      </c>
      <c r="I16" s="654" t="s">
        <v>77</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x14ac:dyDescent="0.3">
      <c r="A17" t="s">
        <v>114</v>
      </c>
      <c r="B17" s="655" t="s">
        <v>9</v>
      </c>
      <c r="C17" s="656" t="str">
        <f>'7'!C16</f>
        <v>Tarptautinis, teritorinis bendradarbiavimas</v>
      </c>
      <c r="D17" s="657">
        <f t="shared" si="0"/>
        <v>2</v>
      </c>
      <c r="E17" s="654" t="s">
        <v>76</v>
      </c>
      <c r="F17" s="654" t="s">
        <v>76</v>
      </c>
      <c r="G17" s="654" t="s">
        <v>77</v>
      </c>
      <c r="H17" s="654" t="s">
        <v>77</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x14ac:dyDescent="0.3">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x14ac:dyDescent="0.3">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x14ac:dyDescent="0.3">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x14ac:dyDescent="0.3">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x14ac:dyDescent="0.3">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x14ac:dyDescent="0.3">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x14ac:dyDescent="0.3">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x14ac:dyDescent="0.3">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x14ac:dyDescent="0.3">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x14ac:dyDescent="0.3">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x14ac:dyDescent="0.3">
      <c r="B30"/>
      <c r="C30" s="604" t="s">
        <v>1494</v>
      </c>
    </row>
    <row r="31" spans="1:25" ht="86.4" x14ac:dyDescent="0.3">
      <c r="B31" s="1">
        <v>1</v>
      </c>
      <c r="C31" s="335" t="s">
        <v>1497</v>
      </c>
    </row>
    <row r="32" spans="1:25" x14ac:dyDescent="0.3">
      <c r="B32" s="1">
        <v>2</v>
      </c>
      <c r="C32" s="216" t="s">
        <v>1495</v>
      </c>
    </row>
    <row r="33" spans="2:3" ht="28.8" x14ac:dyDescent="0.3">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W82"/>
  <sheetViews>
    <sheetView zoomScaleNormal="100" workbookViewId="0">
      <pane xSplit="3" ySplit="7" topLeftCell="G71" activePane="bottomRight" state="frozen"/>
      <selection pane="topRight"/>
      <selection pane="bottomLeft"/>
      <selection pane="bottomRight" activeCell="I72" sqref="I72"/>
    </sheetView>
  </sheetViews>
  <sheetFormatPr defaultColWidth="9.109375" defaultRowHeight="14.4" x14ac:dyDescent="0.3"/>
  <cols>
    <col min="1" max="1" width="8.6640625" style="115" customWidth="1"/>
    <col min="2" max="2" width="50.6640625" style="13" customWidth="1"/>
    <col min="3" max="3" width="50.6640625" style="14" customWidth="1"/>
    <col min="4" max="4" width="50.6640625" style="383" customWidth="1"/>
    <col min="5" max="23" width="50.6640625" style="114" customWidth="1"/>
    <col min="24" max="24" width="50.6640625" style="13" customWidth="1"/>
    <col min="25" max="16384" width="9.109375" style="13"/>
  </cols>
  <sheetData>
    <row r="1" spans="1:23" s="113" customFormat="1" ht="18" x14ac:dyDescent="0.3">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3">
      <c r="C2" s="168"/>
      <c r="D2" s="158"/>
      <c r="E2" s="158"/>
      <c r="F2" s="158"/>
      <c r="G2" s="158"/>
      <c r="H2" s="158"/>
      <c r="I2" s="158"/>
      <c r="J2" s="158"/>
      <c r="K2" s="158"/>
      <c r="L2" s="158"/>
      <c r="M2" s="158"/>
      <c r="N2" s="158"/>
      <c r="O2" s="158"/>
      <c r="P2" s="158"/>
      <c r="Q2" s="158"/>
      <c r="R2" s="158"/>
      <c r="S2" s="158"/>
      <c r="T2" s="158"/>
      <c r="U2" s="158"/>
      <c r="V2" s="158"/>
      <c r="W2" s="158"/>
    </row>
    <row r="3" spans="1:23" x14ac:dyDescent="0.3">
      <c r="A3" s="1"/>
      <c r="B3" s="140" t="s">
        <v>1272</v>
      </c>
      <c r="C3" s="128"/>
      <c r="D3" s="385" t="str">
        <f>'1'!C8</f>
        <v>TRAK</v>
      </c>
    </row>
    <row r="4" spans="1:23" customFormat="1" x14ac:dyDescent="0.3">
      <c r="C4" s="168"/>
      <c r="D4" s="158"/>
      <c r="E4" s="158"/>
      <c r="F4" s="158"/>
      <c r="G4" s="158"/>
      <c r="H4" s="158"/>
      <c r="I4" s="158"/>
      <c r="J4" s="158"/>
      <c r="K4" s="158"/>
      <c r="L4" s="158"/>
      <c r="M4" s="158"/>
      <c r="N4" s="158"/>
      <c r="O4" s="158"/>
      <c r="P4" s="158"/>
      <c r="Q4" s="158"/>
      <c r="R4" s="158"/>
      <c r="S4" s="158"/>
      <c r="T4" s="158"/>
      <c r="U4" s="158"/>
      <c r="V4" s="158"/>
      <c r="W4" s="158"/>
    </row>
    <row r="5" spans="1:23" x14ac:dyDescent="0.3">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29.6" x14ac:dyDescent="0.3">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28.8" x14ac:dyDescent="0.3">
      <c r="A7" s="2" t="s">
        <v>188</v>
      </c>
      <c r="B7" s="124" t="s">
        <v>20</v>
      </c>
      <c r="C7" s="335" t="s">
        <v>1319</v>
      </c>
      <c r="D7" s="141" t="str">
        <f>VLOOKUP(D6,'7'!$B$7:$C$26,2,FALSE)</f>
        <v>Kraštovaizdžio išsaugojimas ir pritaikymas poilsiui, sveikatinimui, turzmui</v>
      </c>
      <c r="E7" s="141" t="str">
        <f>VLOOKUP(E6,'7'!$B$7:$C$26,2,FALSE)</f>
        <v>Tvarios aplinkos kūrimas, aplinkosauginio sąmoningumo didinimas</v>
      </c>
      <c r="F7" s="141" t="str">
        <f>VLOOKUP(F6,'7'!$B$7:$C$26,2,FALSE)</f>
        <v>Jaunimo ir su jaunimu dirbančių organizacijų stiprinimas, jaunimo užimtumo įvairinimas</v>
      </c>
      <c r="G7" s="141" t="str">
        <f>VLOOKUP(G6,'7'!$B$7:$C$26,2,FALSE)</f>
        <v>Potencialių pareiškėjų ir projektų vykdytojų mokymai</v>
      </c>
      <c r="H7" s="141" t="str">
        <f>VLOOKUP(H6,'7'!$B$7:$C$26,2,FALSE)</f>
        <v>Skaitmeninių, informacinių, komunikacinių technologijų taikymas versle</v>
      </c>
      <c r="I7" s="141" t="str">
        <f>VLOOKUP(I6,'7'!$B$7:$C$26,2,FALSE)</f>
        <v>Vietos produktų /paslaugų kūrimas ir (ar) populiarinimas taikant inovacijas</v>
      </c>
      <c r="J7" s="141" t="str">
        <f>VLOOKUP(J6,'7'!$B$7:$C$26,2,FALSE)</f>
        <v>Paslaugų įvairinimas/kūrimas, stiprinant materialinę bazę ir (ar) kompetencijas</v>
      </c>
      <c r="K7" s="141" t="str">
        <f>VLOOKUP(K6,'7'!$B$7:$C$26,2,FALSE)</f>
        <v xml:space="preserve">Vietos gyventojų socialinio aktyvumo bei verslumo skatinimas įtraukiant pažeidžiamas grupes </v>
      </c>
      <c r="L7" s="141" t="str">
        <f>VLOOKUP(L6,'7'!$B$7:$C$26,2,FALSE)</f>
        <v>Bendruomeninio verslo kūrimas skatinant savanorystę</v>
      </c>
      <c r="M7" s="141" t="str">
        <f>VLOOKUP(M6,'7'!$B$7:$C$26,2,FALSE)</f>
        <v>Tarptautinis, teritorinis bendradarbiavimas</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ht="28.8" x14ac:dyDescent="0.3">
      <c r="A8" s="2" t="s">
        <v>189</v>
      </c>
      <c r="B8" s="125" t="s">
        <v>27</v>
      </c>
      <c r="C8" s="335" t="s">
        <v>1319</v>
      </c>
      <c r="D8" s="141" t="str">
        <f>VLOOKUP(D$6,'7'!$B$7:$D$26,3,FALSE)</f>
        <v>Veiklos projektai</v>
      </c>
      <c r="E8" s="141" t="str">
        <f>VLOOKUP(E$6,'7'!$B$7:$D$26,3,FALSE)</f>
        <v>Veiklos projektai</v>
      </c>
      <c r="F8" s="141" t="str">
        <f>VLOOKUP(F$6,'7'!$B$7:$D$26,3,FALSE)</f>
        <v>Veiklos projektai</v>
      </c>
      <c r="G8" s="141" t="str">
        <f>VLOOKUP(G$6,'7'!$B$7:$D$26,3,FALSE)</f>
        <v>Mokymų projektai</v>
      </c>
      <c r="H8" s="141" t="str">
        <f>VLOOKUP(H$6,'7'!$B$7:$D$26,3,FALSE)</f>
        <v>Žemės ūkio verslas</v>
      </c>
      <c r="I8" s="141" t="str">
        <f>VLOOKUP(I$6,'7'!$B$7:$D$26,3,FALSE)</f>
        <v>Ūkio subjektų (fizinių ir (arba) juridinių asmenų) bendradarbiavimas</v>
      </c>
      <c r="J8" s="141" t="str">
        <f>VLOOKUP(J$6,'7'!$B$7:$D$26,3,FALSE)</f>
        <v>Ne žemės ūkio verslo kūrimas ir plėtra</v>
      </c>
      <c r="K8" s="141" t="str">
        <f>VLOOKUP(K$6,'7'!$B$7:$D$26,3,FALSE)</f>
        <v>Socialinis verslas</v>
      </c>
      <c r="L8" s="141" t="str">
        <f>VLOOKUP(L$6,'7'!$B$7:$D$26,3,FALSE)</f>
        <v>Bendruomeninis verslas</v>
      </c>
      <c r="M8" s="141" t="str">
        <f>VLOOKUP(M$6,'7'!$B$7:$D$26,3,FALSE)</f>
        <v>Tarptautinis VVG bendradarbiavimas</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x14ac:dyDescent="0.3">
      <c r="A9" s="2" t="s">
        <v>190</v>
      </c>
      <c r="B9" s="125" t="s">
        <v>138</v>
      </c>
      <c r="C9" s="335" t="s">
        <v>1320</v>
      </c>
      <c r="D9" s="141">
        <f>VLOOKUP(D$6,'9'!$B$8:$D$27,3,FALSE)</f>
        <v>3</v>
      </c>
      <c r="E9" s="141">
        <f>VLOOKUP(E$6,'9'!$B$8:$D$27,3,FALSE)</f>
        <v>3</v>
      </c>
      <c r="F9" s="141">
        <f>VLOOKUP(F$6,'9'!$B$8:$D$27,3,FALSE)</f>
        <v>3</v>
      </c>
      <c r="G9" s="141">
        <f>VLOOKUP(G$6,'9'!$B$8:$D$27,3,FALSE)</f>
        <v>3</v>
      </c>
      <c r="H9" s="141">
        <f>VLOOKUP(H$6,'9'!$B$8:$D$27,3,FALSE)</f>
        <v>3</v>
      </c>
      <c r="I9" s="141">
        <f>VLOOKUP(I$6,'9'!$B$8:$D$27,3,FALSE)</f>
        <v>3</v>
      </c>
      <c r="J9" s="141">
        <f>VLOOKUP(J$6,'9'!$B$8:$D$27,3,FALSE)</f>
        <v>3</v>
      </c>
      <c r="K9" s="141">
        <f>VLOOKUP(K$6,'9'!$B$8:$D$27,3,FALSE)</f>
        <v>3</v>
      </c>
      <c r="L9" s="141">
        <f>VLOOKUP(L$6,'9'!$B$8:$D$27,3,FALSE)</f>
        <v>2</v>
      </c>
      <c r="M9" s="141">
        <f>VLOOKUP(M$6,'9'!$B$8:$D$27,3,FALSE)</f>
        <v>2</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3">
      <c r="A10" s="2" t="s">
        <v>191</v>
      </c>
      <c r="B10" s="125" t="s">
        <v>498</v>
      </c>
      <c r="C10" s="335" t="s">
        <v>1321</v>
      </c>
      <c r="D10" s="141">
        <f>VLOOKUP(D$6,'8'!$B$7:$D$26,3,FALSE)</f>
        <v>3</v>
      </c>
      <c r="E10" s="141">
        <f>VLOOKUP(E$6,'8'!$B$7:$D$26,3,FALSE)</f>
        <v>3</v>
      </c>
      <c r="F10" s="141">
        <f>VLOOKUP(F$6,'8'!$B$7:$D$26,3,FALSE)</f>
        <v>2</v>
      </c>
      <c r="G10" s="141">
        <f>VLOOKUP(G$6,'8'!$B$7:$D$26,3,FALSE)</f>
        <v>3</v>
      </c>
      <c r="H10" s="141">
        <f>VLOOKUP(H$6,'8'!$B$7:$D$26,3,FALSE)</f>
        <v>3</v>
      </c>
      <c r="I10" s="141">
        <f>VLOOKUP(I$6,'8'!$B$7:$D$26,3,FALSE)</f>
        <v>3</v>
      </c>
      <c r="J10" s="141">
        <f>VLOOKUP(J$6,'8'!$B$7:$D$26,3,FALSE)</f>
        <v>3</v>
      </c>
      <c r="K10" s="141">
        <f>VLOOKUP(K$6,'8'!$B$7:$D$26,3,FALSE)</f>
        <v>3</v>
      </c>
      <c r="L10" s="141">
        <f>VLOOKUP(L$6,'8'!$B$7:$D$26,3,FALSE)</f>
        <v>3</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15.2" x14ac:dyDescent="0.3">
      <c r="A11" s="2" t="s">
        <v>192</v>
      </c>
      <c r="B11" s="125" t="s">
        <v>499</v>
      </c>
      <c r="C11" s="500" t="s">
        <v>1513</v>
      </c>
      <c r="D11" s="587" t="s">
        <v>377</v>
      </c>
      <c r="E11" s="587" t="s">
        <v>1499</v>
      </c>
      <c r="F11" s="587" t="s">
        <v>381</v>
      </c>
      <c r="G11" s="587" t="s">
        <v>381</v>
      </c>
      <c r="H11" s="587" t="s">
        <v>373</v>
      </c>
      <c r="I11" s="587" t="s">
        <v>1499</v>
      </c>
      <c r="J11" s="587" t="s">
        <v>381</v>
      </c>
      <c r="K11" s="587" t="s">
        <v>381</v>
      </c>
      <c r="L11" s="587" t="s">
        <v>376</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3.2" x14ac:dyDescent="0.3">
      <c r="A12" s="2" t="s">
        <v>193</v>
      </c>
      <c r="B12" s="127" t="s">
        <v>1266</v>
      </c>
      <c r="C12" s="335" t="s">
        <v>1524</v>
      </c>
      <c r="D12" s="588" t="s">
        <v>76</v>
      </c>
      <c r="E12" s="587" t="s">
        <v>77</v>
      </c>
      <c r="F12" s="587" t="s">
        <v>76</v>
      </c>
      <c r="G12" s="587" t="s">
        <v>76</v>
      </c>
      <c r="H12" s="587" t="s">
        <v>76</v>
      </c>
      <c r="I12" s="587" t="s">
        <v>76</v>
      </c>
      <c r="J12" s="587" t="s">
        <v>76</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3.2" x14ac:dyDescent="0.3">
      <c r="A13" s="2" t="s">
        <v>194</v>
      </c>
      <c r="B13" s="127" t="s">
        <v>1267</v>
      </c>
      <c r="C13" s="335" t="s">
        <v>1524</v>
      </c>
      <c r="D13" s="588" t="s">
        <v>76</v>
      </c>
      <c r="E13" s="587" t="s">
        <v>76</v>
      </c>
      <c r="F13" s="587" t="s">
        <v>76</v>
      </c>
      <c r="G13" s="587" t="s">
        <v>77</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3.2" x14ac:dyDescent="0.3">
      <c r="A14" s="2" t="s">
        <v>195</v>
      </c>
      <c r="B14" s="127" t="s">
        <v>1268</v>
      </c>
      <c r="C14" s="335" t="s">
        <v>1524</v>
      </c>
      <c r="D14" s="588" t="s">
        <v>77</v>
      </c>
      <c r="E14" s="587" t="s">
        <v>76</v>
      </c>
      <c r="F14" s="587" t="s">
        <v>76</v>
      </c>
      <c r="G14" s="587" t="s">
        <v>77</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3.2" x14ac:dyDescent="0.3">
      <c r="A15" s="2" t="s">
        <v>196</v>
      </c>
      <c r="B15" s="127" t="s">
        <v>1269</v>
      </c>
      <c r="C15" s="335" t="s">
        <v>1524</v>
      </c>
      <c r="D15" s="588" t="s">
        <v>76</v>
      </c>
      <c r="E15" s="587" t="s">
        <v>76</v>
      </c>
      <c r="F15" s="587" t="s">
        <v>76</v>
      </c>
      <c r="G15" s="587" t="s">
        <v>77</v>
      </c>
      <c r="H15" s="587" t="s">
        <v>76</v>
      </c>
      <c r="I15" s="587" t="s">
        <v>76</v>
      </c>
      <c r="J15" s="587" t="s">
        <v>76</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x14ac:dyDescent="0.3">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44.8" x14ac:dyDescent="0.3">
      <c r="A17" s="2" t="s">
        <v>197</v>
      </c>
      <c r="B17" s="127" t="s">
        <v>501</v>
      </c>
      <c r="C17" s="335" t="s">
        <v>1526</v>
      </c>
      <c r="D17" s="145" t="s">
        <v>1788</v>
      </c>
      <c r="E17" s="145" t="s">
        <v>1789</v>
      </c>
      <c r="F17" s="145" t="s">
        <v>1790</v>
      </c>
      <c r="G17" s="145" t="s">
        <v>1791</v>
      </c>
      <c r="H17" s="145" t="s">
        <v>1792</v>
      </c>
      <c r="I17" s="145" t="s">
        <v>1793</v>
      </c>
      <c r="J17" s="145" t="s">
        <v>1794</v>
      </c>
      <c r="K17" s="145" t="s">
        <v>1795</v>
      </c>
      <c r="L17" s="145" t="s">
        <v>1762</v>
      </c>
      <c r="M17" s="145"/>
      <c r="N17" s="145"/>
      <c r="O17" s="145"/>
      <c r="P17" s="145"/>
      <c r="Q17" s="145"/>
      <c r="R17" s="145"/>
      <c r="S17" s="145"/>
      <c r="T17" s="145"/>
      <c r="U17" s="145"/>
      <c r="V17" s="145"/>
      <c r="W17" s="145"/>
    </row>
    <row r="18" spans="1:23" ht="100.8" x14ac:dyDescent="0.3">
      <c r="A18" s="2" t="s">
        <v>198</v>
      </c>
      <c r="B18" s="125" t="s">
        <v>500</v>
      </c>
      <c r="C18" s="361" t="s">
        <v>1527</v>
      </c>
      <c r="D18" s="145" t="s">
        <v>1834</v>
      </c>
      <c r="E18" s="145" t="s">
        <v>1841</v>
      </c>
      <c r="F18" s="145" t="s">
        <v>1848</v>
      </c>
      <c r="G18" s="145" t="s">
        <v>1853</v>
      </c>
      <c r="H18" s="145" t="s">
        <v>1855</v>
      </c>
      <c r="I18" s="145" t="s">
        <v>1856</v>
      </c>
      <c r="J18" s="145" t="s">
        <v>1857</v>
      </c>
      <c r="K18" s="145" t="s">
        <v>1864</v>
      </c>
      <c r="L18" s="145" t="s">
        <v>1865</v>
      </c>
      <c r="M18" s="145"/>
      <c r="N18" s="145"/>
      <c r="O18" s="145"/>
      <c r="P18" s="145"/>
      <c r="Q18" s="145"/>
      <c r="R18" s="145"/>
      <c r="S18" s="145"/>
      <c r="T18" s="145"/>
      <c r="U18" s="145"/>
      <c r="V18" s="145"/>
      <c r="W18" s="145"/>
    </row>
    <row r="19" spans="1:23" ht="115.2" x14ac:dyDescent="0.3">
      <c r="A19" s="2" t="s">
        <v>199</v>
      </c>
      <c r="B19" s="124" t="s">
        <v>460</v>
      </c>
      <c r="C19" s="335" t="s">
        <v>1528</v>
      </c>
      <c r="D19" s="145" t="s">
        <v>1123</v>
      </c>
      <c r="E19" s="145" t="s">
        <v>1850</v>
      </c>
      <c r="F19" s="145" t="s">
        <v>1849</v>
      </c>
      <c r="G19" s="145" t="s">
        <v>1123</v>
      </c>
      <c r="H19" s="145"/>
      <c r="I19" s="145" t="s">
        <v>1779</v>
      </c>
      <c r="J19" s="145"/>
      <c r="K19" s="145" t="s">
        <v>1842</v>
      </c>
      <c r="L19" s="145"/>
      <c r="M19" s="145"/>
      <c r="N19" s="145"/>
      <c r="O19" s="145"/>
      <c r="P19" s="145"/>
      <c r="Q19" s="145"/>
      <c r="R19" s="145"/>
      <c r="S19" s="145"/>
      <c r="T19" s="145"/>
      <c r="U19" s="145"/>
      <c r="V19" s="145"/>
      <c r="W19" s="145"/>
    </row>
    <row r="20" spans="1:23" ht="115.2" x14ac:dyDescent="0.3">
      <c r="A20" s="2" t="s">
        <v>200</v>
      </c>
      <c r="B20" s="124" t="s">
        <v>461</v>
      </c>
      <c r="C20" s="335" t="s">
        <v>1529</v>
      </c>
      <c r="D20" s="145" t="s">
        <v>1779</v>
      </c>
      <c r="E20" s="145" t="s">
        <v>1842</v>
      </c>
      <c r="F20" s="145" t="s">
        <v>1779</v>
      </c>
      <c r="G20" s="145" t="s">
        <v>1123</v>
      </c>
      <c r="H20" s="145"/>
      <c r="I20" s="145" t="s">
        <v>1779</v>
      </c>
      <c r="J20" s="145" t="s">
        <v>1779</v>
      </c>
      <c r="K20" s="145" t="s">
        <v>1850</v>
      </c>
      <c r="L20" s="145" t="s">
        <v>1868</v>
      </c>
      <c r="M20" s="145"/>
      <c r="N20" s="145"/>
      <c r="O20" s="145"/>
      <c r="P20" s="145"/>
      <c r="Q20" s="145"/>
      <c r="R20" s="145"/>
      <c r="S20" s="145"/>
      <c r="T20" s="145"/>
      <c r="U20" s="145"/>
      <c r="V20" s="145"/>
      <c r="W20" s="145"/>
    </row>
    <row r="21" spans="1:23" ht="115.2" x14ac:dyDescent="0.3">
      <c r="A21" s="2" t="s">
        <v>201</v>
      </c>
      <c r="B21" s="124" t="s">
        <v>462</v>
      </c>
      <c r="C21" s="335" t="s">
        <v>1532</v>
      </c>
      <c r="D21" s="145" t="s">
        <v>1780</v>
      </c>
      <c r="E21" s="145" t="s">
        <v>1843</v>
      </c>
      <c r="F21" s="145" t="s">
        <v>1842</v>
      </c>
      <c r="G21" s="145" t="s">
        <v>1123</v>
      </c>
      <c r="H21" s="145" t="s">
        <v>1779</v>
      </c>
      <c r="I21" s="145" t="s">
        <v>1779</v>
      </c>
      <c r="J21" s="145" t="s">
        <v>1779</v>
      </c>
      <c r="K21" s="145" t="s">
        <v>1842</v>
      </c>
      <c r="L21" s="145" t="s">
        <v>1842</v>
      </c>
      <c r="M21" s="145"/>
      <c r="N21" s="145"/>
      <c r="O21" s="145"/>
      <c r="P21" s="145"/>
      <c r="Q21" s="145"/>
      <c r="R21" s="145"/>
      <c r="S21" s="145"/>
      <c r="T21" s="145"/>
      <c r="U21" s="145"/>
      <c r="V21" s="145"/>
      <c r="W21" s="145"/>
    </row>
    <row r="22" spans="1:23" ht="115.2" x14ac:dyDescent="0.3">
      <c r="A22" s="2" t="s">
        <v>202</v>
      </c>
      <c r="B22" s="124" t="s">
        <v>234</v>
      </c>
      <c r="C22" s="335" t="s">
        <v>1533</v>
      </c>
      <c r="D22" s="145" t="s">
        <v>1842</v>
      </c>
      <c r="E22" s="145" t="s">
        <v>1844</v>
      </c>
      <c r="F22" s="145" t="s">
        <v>1851</v>
      </c>
      <c r="G22" s="145" t="s">
        <v>1779</v>
      </c>
      <c r="H22" s="145" t="s">
        <v>1779</v>
      </c>
      <c r="I22" s="145" t="s">
        <v>1859</v>
      </c>
      <c r="J22" s="145" t="s">
        <v>1866</v>
      </c>
      <c r="K22" s="145" t="s">
        <v>1867</v>
      </c>
      <c r="L22" s="145" t="s">
        <v>1867</v>
      </c>
      <c r="M22" s="145"/>
      <c r="N22" s="145"/>
      <c r="O22" s="145"/>
      <c r="P22" s="145"/>
      <c r="Q22" s="145"/>
      <c r="R22" s="145"/>
      <c r="S22" s="145"/>
      <c r="T22" s="145"/>
      <c r="U22" s="145"/>
      <c r="V22" s="145"/>
      <c r="W22" s="145"/>
    </row>
    <row r="23" spans="1:23" ht="28.8" x14ac:dyDescent="0.3">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72" x14ac:dyDescent="0.3">
      <c r="A24" s="2" t="s">
        <v>204</v>
      </c>
      <c r="B24" s="124" t="s">
        <v>237</v>
      </c>
      <c r="C24" s="361" t="s">
        <v>1607</v>
      </c>
      <c r="D24" s="145" t="s">
        <v>1835</v>
      </c>
      <c r="E24" s="145" t="s">
        <v>1845</v>
      </c>
      <c r="F24" s="145" t="s">
        <v>1852</v>
      </c>
      <c r="G24" s="145" t="s">
        <v>1761</v>
      </c>
      <c r="H24" s="145" t="s">
        <v>1854</v>
      </c>
      <c r="I24" s="145" t="s">
        <v>1860</v>
      </c>
      <c r="J24" s="145" t="s">
        <v>1862</v>
      </c>
      <c r="K24" s="145" t="s">
        <v>1863</v>
      </c>
      <c r="L24" s="145"/>
      <c r="M24" s="145"/>
      <c r="N24" s="145"/>
      <c r="O24" s="145"/>
      <c r="P24" s="145"/>
      <c r="Q24" s="145"/>
      <c r="R24" s="145"/>
      <c r="S24" s="145"/>
      <c r="T24" s="145"/>
      <c r="U24" s="145"/>
      <c r="V24" s="145"/>
      <c r="W24" s="145"/>
    </row>
    <row r="25" spans="1:23" ht="86.4" x14ac:dyDescent="0.3">
      <c r="A25" s="2" t="s">
        <v>205</v>
      </c>
      <c r="B25" s="125" t="s">
        <v>1606</v>
      </c>
      <c r="C25" s="361" t="s">
        <v>1605</v>
      </c>
      <c r="D25" s="145" t="s">
        <v>1836</v>
      </c>
      <c r="E25" s="145" t="s">
        <v>1763</v>
      </c>
      <c r="F25" s="145" t="s">
        <v>1763</v>
      </c>
      <c r="G25" s="145" t="s">
        <v>1827</v>
      </c>
      <c r="H25" s="145" t="s">
        <v>1764</v>
      </c>
      <c r="I25" s="145" t="s">
        <v>1764</v>
      </c>
      <c r="J25" s="145" t="s">
        <v>1764</v>
      </c>
      <c r="K25" s="145" t="s">
        <v>1826</v>
      </c>
      <c r="L25" s="145" t="s">
        <v>1825</v>
      </c>
      <c r="M25" s="145"/>
      <c r="N25" s="145"/>
      <c r="O25" s="145"/>
      <c r="P25" s="145"/>
      <c r="Q25" s="145"/>
      <c r="R25" s="145"/>
      <c r="S25" s="145"/>
      <c r="T25" s="145"/>
      <c r="U25" s="145"/>
      <c r="V25" s="145"/>
      <c r="W25" s="145"/>
    </row>
    <row r="26" spans="1:23" ht="129.6" x14ac:dyDescent="0.3">
      <c r="A26" s="2" t="s">
        <v>206</v>
      </c>
      <c r="B26" s="125" t="s">
        <v>1608</v>
      </c>
      <c r="C26" s="361" t="s">
        <v>1610</v>
      </c>
      <c r="D26" s="732" t="s">
        <v>1884</v>
      </c>
      <c r="E26" s="732" t="s">
        <v>1885</v>
      </c>
      <c r="F26" s="732" t="s">
        <v>1886</v>
      </c>
      <c r="G26" s="732" t="s">
        <v>1887</v>
      </c>
      <c r="H26" s="732" t="s">
        <v>1888</v>
      </c>
      <c r="I26" s="732" t="s">
        <v>1889</v>
      </c>
      <c r="J26" s="732" t="s">
        <v>1890</v>
      </c>
      <c r="K26" s="732" t="s">
        <v>1891</v>
      </c>
      <c r="L26" s="145" t="s">
        <v>1892</v>
      </c>
      <c r="M26" s="145" t="s">
        <v>1893</v>
      </c>
      <c r="N26" s="145"/>
      <c r="O26" s="145"/>
      <c r="P26" s="145"/>
      <c r="Q26" s="145"/>
      <c r="R26" s="145"/>
      <c r="S26" s="145"/>
      <c r="T26" s="145"/>
      <c r="U26" s="145"/>
      <c r="V26" s="145"/>
      <c r="W26" s="145"/>
    </row>
    <row r="27" spans="1:23" ht="144" x14ac:dyDescent="0.3">
      <c r="A27" s="2" t="s">
        <v>725</v>
      </c>
      <c r="B27" s="124" t="s">
        <v>635</v>
      </c>
      <c r="C27" s="312" t="s">
        <v>1645</v>
      </c>
      <c r="D27" s="145" t="s">
        <v>1837</v>
      </c>
      <c r="E27" s="145" t="s">
        <v>1837</v>
      </c>
      <c r="F27" s="145" t="s">
        <v>1838</v>
      </c>
      <c r="G27" s="145" t="s">
        <v>1837</v>
      </c>
      <c r="H27" s="145" t="s">
        <v>1837</v>
      </c>
      <c r="I27" s="145" t="s">
        <v>1837</v>
      </c>
      <c r="J27" s="145" t="s">
        <v>1837</v>
      </c>
      <c r="K27" s="145" t="s">
        <v>1837</v>
      </c>
      <c r="L27" s="145" t="s">
        <v>1837</v>
      </c>
      <c r="M27" s="145"/>
      <c r="N27" s="145"/>
      <c r="O27" s="145"/>
      <c r="P27" s="145"/>
      <c r="Q27" s="145"/>
      <c r="R27" s="145"/>
      <c r="S27" s="145"/>
      <c r="T27" s="145"/>
      <c r="U27" s="145"/>
      <c r="V27" s="145"/>
      <c r="W27" s="145"/>
    </row>
    <row r="28" spans="1:23" ht="360" x14ac:dyDescent="0.3">
      <c r="A28" s="2" t="s">
        <v>726</v>
      </c>
      <c r="B28" s="127" t="s">
        <v>1690</v>
      </c>
      <c r="C28" s="361" t="s">
        <v>1631</v>
      </c>
      <c r="D28" s="145" t="s">
        <v>1765</v>
      </c>
      <c r="E28" s="145" t="s">
        <v>1766</v>
      </c>
      <c r="F28" s="145" t="s">
        <v>1767</v>
      </c>
      <c r="G28" s="145" t="s">
        <v>1768</v>
      </c>
      <c r="H28" s="145" t="s">
        <v>1911</v>
      </c>
      <c r="I28" s="145" t="s">
        <v>1771</v>
      </c>
      <c r="J28" s="145" t="s">
        <v>1772</v>
      </c>
      <c r="K28" s="145" t="s">
        <v>1769</v>
      </c>
      <c r="L28" s="145" t="s">
        <v>1770</v>
      </c>
      <c r="M28" s="145"/>
      <c r="N28" s="145"/>
      <c r="O28" s="145"/>
      <c r="P28" s="145"/>
      <c r="Q28" s="145"/>
      <c r="R28" s="145"/>
      <c r="S28" s="145"/>
      <c r="T28" s="145"/>
      <c r="U28" s="145"/>
      <c r="V28" s="145"/>
      <c r="W28" s="145"/>
    </row>
    <row r="29" spans="1:23" x14ac:dyDescent="0.3">
      <c r="A29" s="2" t="s">
        <v>727</v>
      </c>
      <c r="B29" s="124" t="s">
        <v>502</v>
      </c>
      <c r="C29" s="335" t="s">
        <v>1322</v>
      </c>
      <c r="D29" s="141">
        <f>VLOOKUP(D$6,'15'!$B$8:$E$27,4,FALSE)</f>
        <v>5</v>
      </c>
      <c r="E29" s="141">
        <f>VLOOKUP(E$6,'15'!$B$8:$E$27,4,FALSE)</f>
        <v>2</v>
      </c>
      <c r="F29" s="141">
        <f>VLOOKUP(F$6,'15'!$B$8:$E$27,4,FALSE)</f>
        <v>5</v>
      </c>
      <c r="G29" s="141">
        <f>VLOOKUP(G$6,'15'!$B$8:$E$27,4,FALSE)</f>
        <v>3</v>
      </c>
      <c r="H29" s="141">
        <f>VLOOKUP(H$6,'15'!$B$8:$E$27,4,FALSE)</f>
        <v>2</v>
      </c>
      <c r="I29" s="141">
        <f>VLOOKUP(I$6,'15'!$B$8:$E$27,4,FALSE)</f>
        <v>1</v>
      </c>
      <c r="J29" s="141">
        <f>VLOOKUP(J$6,'15'!$B$8:$E$27,4,FALSE)</f>
        <v>2</v>
      </c>
      <c r="K29" s="141">
        <f>VLOOKUP(K$6,'15'!$B$8:$E$27,4,FALSE)</f>
        <v>2</v>
      </c>
      <c r="L29" s="141">
        <f>VLOOKUP(L$6,'15'!$B$8:$E$27,4,FALSE)</f>
        <v>1</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3">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86.4" x14ac:dyDescent="0.3">
      <c r="A31" s="2" t="s">
        <v>729</v>
      </c>
      <c r="B31" s="124" t="s">
        <v>504</v>
      </c>
      <c r="C31" s="312" t="s">
        <v>1609</v>
      </c>
      <c r="D31" s="145">
        <v>24000</v>
      </c>
      <c r="E31" s="145">
        <v>11967</v>
      </c>
      <c r="F31" s="145">
        <v>10000</v>
      </c>
      <c r="G31" s="145">
        <v>10000</v>
      </c>
      <c r="H31" s="145">
        <v>70000</v>
      </c>
      <c r="I31" s="145">
        <v>100001</v>
      </c>
      <c r="J31" s="145">
        <v>70000</v>
      </c>
      <c r="K31" s="145">
        <v>100000</v>
      </c>
      <c r="L31" s="145">
        <v>100000</v>
      </c>
      <c r="M31" s="145">
        <v>5000</v>
      </c>
      <c r="N31" s="145"/>
      <c r="O31" s="145"/>
      <c r="P31" s="145"/>
      <c r="Q31" s="145"/>
      <c r="R31" s="145"/>
      <c r="S31" s="145"/>
      <c r="T31" s="145"/>
      <c r="U31" s="145"/>
      <c r="V31" s="145"/>
      <c r="W31" s="145"/>
    </row>
    <row r="32" spans="1:23" ht="201.6" x14ac:dyDescent="0.3">
      <c r="A32" s="2" t="s">
        <v>730</v>
      </c>
      <c r="B32" s="124" t="s">
        <v>505</v>
      </c>
      <c r="C32" s="361" t="s">
        <v>1646</v>
      </c>
      <c r="D32" s="145" t="s">
        <v>1760</v>
      </c>
      <c r="E32" s="145" t="s">
        <v>1760</v>
      </c>
      <c r="F32" s="145" t="s">
        <v>1760</v>
      </c>
      <c r="G32" s="145" t="s">
        <v>1759</v>
      </c>
      <c r="H32" s="145" t="s">
        <v>1758</v>
      </c>
      <c r="I32" s="145" t="s">
        <v>1758</v>
      </c>
      <c r="J32" s="145" t="s">
        <v>1758</v>
      </c>
      <c r="K32" s="145" t="s">
        <v>1757</v>
      </c>
      <c r="L32" s="145" t="s">
        <v>1757</v>
      </c>
      <c r="M32" s="145" t="s">
        <v>1756</v>
      </c>
      <c r="N32" s="145"/>
      <c r="O32" s="145"/>
      <c r="P32" s="145"/>
      <c r="Q32" s="145"/>
      <c r="R32" s="145"/>
      <c r="S32" s="145"/>
      <c r="T32" s="145"/>
      <c r="U32" s="145"/>
      <c r="V32" s="145"/>
      <c r="W32" s="145"/>
    </row>
    <row r="33" spans="1:23" ht="57.6" x14ac:dyDescent="0.3">
      <c r="A33" s="2" t="s">
        <v>731</v>
      </c>
      <c r="B33" s="124" t="s">
        <v>506</v>
      </c>
      <c r="C33" s="335" t="s">
        <v>1525</v>
      </c>
      <c r="D33" s="589">
        <v>192000</v>
      </c>
      <c r="E33" s="589">
        <v>23934</v>
      </c>
      <c r="F33" s="589">
        <v>80000</v>
      </c>
      <c r="G33" s="589">
        <v>80000</v>
      </c>
      <c r="H33" s="589">
        <v>140000</v>
      </c>
      <c r="I33" s="589">
        <v>100001</v>
      </c>
      <c r="J33" s="589">
        <v>280000</v>
      </c>
      <c r="K33" s="589">
        <v>200000</v>
      </c>
      <c r="L33" s="589">
        <v>100000</v>
      </c>
      <c r="M33" s="589">
        <v>10000</v>
      </c>
      <c r="N33" s="589"/>
      <c r="O33" s="589"/>
      <c r="P33" s="589"/>
      <c r="Q33" s="589"/>
      <c r="R33" s="589"/>
      <c r="S33" s="589"/>
      <c r="T33" s="589"/>
      <c r="U33" s="589"/>
      <c r="V33" s="589"/>
      <c r="W33" s="589"/>
    </row>
    <row r="34" spans="1:23" ht="43.2" x14ac:dyDescent="0.3">
      <c r="A34" s="2" t="s">
        <v>732</v>
      </c>
      <c r="B34" s="124" t="s">
        <v>156</v>
      </c>
      <c r="C34" s="335" t="s">
        <v>1324</v>
      </c>
      <c r="D34" s="590">
        <v>8</v>
      </c>
      <c r="E34" s="590">
        <v>2</v>
      </c>
      <c r="F34" s="590">
        <v>8</v>
      </c>
      <c r="G34" s="590">
        <v>8</v>
      </c>
      <c r="H34" s="590">
        <v>2</v>
      </c>
      <c r="I34" s="590">
        <v>1</v>
      </c>
      <c r="J34" s="590">
        <v>4</v>
      </c>
      <c r="K34" s="590">
        <v>2</v>
      </c>
      <c r="L34" s="590">
        <v>1</v>
      </c>
      <c r="M34" s="590">
        <v>1</v>
      </c>
      <c r="N34" s="590"/>
      <c r="O34" s="590"/>
      <c r="P34" s="590"/>
      <c r="Q34" s="590"/>
      <c r="R34" s="590"/>
      <c r="S34" s="590"/>
      <c r="T34" s="590"/>
      <c r="U34" s="590"/>
      <c r="V34" s="590"/>
      <c r="W34" s="590"/>
    </row>
    <row r="35" spans="1:23" ht="57.6" x14ac:dyDescent="0.3">
      <c r="A35" s="2" t="s">
        <v>733</v>
      </c>
      <c r="B35" s="124" t="s">
        <v>503</v>
      </c>
      <c r="C35" s="361" t="s">
        <v>1604</v>
      </c>
      <c r="D35" s="145" t="s">
        <v>1839</v>
      </c>
      <c r="E35" s="145" t="s">
        <v>1847</v>
      </c>
      <c r="F35" s="145" t="s">
        <v>1846</v>
      </c>
      <c r="G35" s="145" t="s">
        <v>1773</v>
      </c>
      <c r="H35" s="145" t="s">
        <v>1858</v>
      </c>
      <c r="I35" s="145" t="s">
        <v>1861</v>
      </c>
      <c r="J35" s="145" t="s">
        <v>1773</v>
      </c>
      <c r="K35" s="145" t="s">
        <v>1773</v>
      </c>
      <c r="L35" s="145" t="s">
        <v>1773</v>
      </c>
      <c r="M35" s="145"/>
      <c r="N35" s="145"/>
      <c r="O35" s="145"/>
      <c r="P35" s="145"/>
      <c r="Q35" s="145"/>
      <c r="R35" s="145"/>
      <c r="S35" s="145"/>
      <c r="T35" s="145"/>
      <c r="U35" s="145"/>
      <c r="V35" s="145"/>
      <c r="W35" s="145"/>
    </row>
    <row r="36" spans="1:23" ht="28.8" x14ac:dyDescent="0.3">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3">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28.8" x14ac:dyDescent="0.3">
      <c r="A38" s="2" t="s">
        <v>736</v>
      </c>
      <c r="B38" s="124" t="s">
        <v>235</v>
      </c>
      <c r="C38" s="335" t="s">
        <v>1515</v>
      </c>
      <c r="D38" s="587" t="s">
        <v>77</v>
      </c>
      <c r="E38" s="587" t="s">
        <v>76</v>
      </c>
      <c r="F38" s="587" t="s">
        <v>77</v>
      </c>
      <c r="G38" s="587" t="s">
        <v>77</v>
      </c>
      <c r="H38" s="587" t="s">
        <v>76</v>
      </c>
      <c r="I38" s="587" t="s">
        <v>76</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29.6" x14ac:dyDescent="0.3">
      <c r="A39" s="2" t="s">
        <v>737</v>
      </c>
      <c r="B39" s="124" t="s">
        <v>158</v>
      </c>
      <c r="C39" s="361" t="s">
        <v>1531</v>
      </c>
      <c r="D39" s="145" t="s">
        <v>1782</v>
      </c>
      <c r="E39" s="145" t="s">
        <v>1783</v>
      </c>
      <c r="F39" s="145" t="s">
        <v>1775</v>
      </c>
      <c r="G39" s="145" t="s">
        <v>1775</v>
      </c>
      <c r="H39" s="145" t="s">
        <v>1774</v>
      </c>
      <c r="I39" s="145" t="s">
        <v>1774</v>
      </c>
      <c r="J39" s="145" t="s">
        <v>1774</v>
      </c>
      <c r="K39" s="145" t="s">
        <v>1774</v>
      </c>
      <c r="L39" s="145" t="s">
        <v>1774</v>
      </c>
      <c r="M39" s="145"/>
      <c r="N39" s="145"/>
      <c r="O39" s="145"/>
      <c r="P39" s="145"/>
      <c r="Q39" s="145"/>
      <c r="R39" s="145"/>
      <c r="S39" s="145"/>
      <c r="T39" s="145"/>
      <c r="U39" s="145"/>
      <c r="V39" s="145"/>
      <c r="W39" s="145"/>
    </row>
    <row r="40" spans="1:23" x14ac:dyDescent="0.3">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15.2" x14ac:dyDescent="0.3">
      <c r="A41" s="2" t="s">
        <v>739</v>
      </c>
      <c r="B41" s="124" t="s">
        <v>238</v>
      </c>
      <c r="C41" s="335" t="s">
        <v>1514</v>
      </c>
      <c r="D41" s="587" t="s">
        <v>233</v>
      </c>
      <c r="E41" s="587" t="s">
        <v>232</v>
      </c>
      <c r="F41" s="587" t="s">
        <v>233</v>
      </c>
      <c r="G41" s="587" t="s">
        <v>76</v>
      </c>
      <c r="H41" s="587" t="s">
        <v>233</v>
      </c>
      <c r="I41" s="587" t="s">
        <v>232</v>
      </c>
      <c r="J41" s="587" t="s">
        <v>232</v>
      </c>
      <c r="K41" s="587" t="s">
        <v>232</v>
      </c>
      <c r="L41" s="587" t="s">
        <v>76</v>
      </c>
      <c r="M41" s="587" t="s">
        <v>232</v>
      </c>
      <c r="N41" s="587" t="s">
        <v>76</v>
      </c>
      <c r="O41" s="587" t="s">
        <v>76</v>
      </c>
      <c r="P41" s="587" t="s">
        <v>76</v>
      </c>
      <c r="Q41" s="587" t="s">
        <v>76</v>
      </c>
      <c r="R41" s="587" t="s">
        <v>76</v>
      </c>
      <c r="S41" s="587" t="s">
        <v>76</v>
      </c>
      <c r="T41" s="587" t="s">
        <v>76</v>
      </c>
      <c r="U41" s="587" t="s">
        <v>76</v>
      </c>
      <c r="V41" s="587" t="s">
        <v>76</v>
      </c>
      <c r="W41" s="587" t="s">
        <v>76</v>
      </c>
    </row>
    <row r="42" spans="1:23" ht="43.2" x14ac:dyDescent="0.3">
      <c r="A42" s="2" t="s">
        <v>740</v>
      </c>
      <c r="B42" s="124" t="s">
        <v>158</v>
      </c>
      <c r="C42" s="361" t="s">
        <v>1530</v>
      </c>
      <c r="D42" s="145" t="s">
        <v>1840</v>
      </c>
      <c r="E42" s="145" t="s">
        <v>1828</v>
      </c>
      <c r="F42" s="145" t="s">
        <v>1829</v>
      </c>
      <c r="G42" s="145"/>
      <c r="H42" s="145" t="s">
        <v>1828</v>
      </c>
      <c r="I42" s="145" t="s">
        <v>1828</v>
      </c>
      <c r="J42" s="145" t="s">
        <v>1828</v>
      </c>
      <c r="K42" s="145" t="s">
        <v>1828</v>
      </c>
      <c r="L42" s="145"/>
      <c r="M42" s="145"/>
      <c r="N42" s="145"/>
      <c r="O42" s="145"/>
      <c r="P42" s="145"/>
      <c r="Q42" s="145"/>
      <c r="R42" s="145"/>
      <c r="S42" s="145"/>
      <c r="T42" s="145"/>
      <c r="U42" s="145"/>
      <c r="V42" s="145"/>
      <c r="W42" s="145"/>
    </row>
    <row r="43" spans="1:23" x14ac:dyDescent="0.3">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15.2" x14ac:dyDescent="0.3">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232</v>
      </c>
      <c r="E44" s="587" t="s">
        <v>232</v>
      </c>
      <c r="F44" s="587" t="s">
        <v>232</v>
      </c>
      <c r="G44" s="587" t="s">
        <v>232</v>
      </c>
      <c r="H44" s="587" t="s">
        <v>232</v>
      </c>
      <c r="I44" s="587" t="s">
        <v>232</v>
      </c>
      <c r="J44" s="587" t="s">
        <v>232</v>
      </c>
      <c r="K44" s="587" t="s">
        <v>232</v>
      </c>
      <c r="L44" s="587" t="s">
        <v>232</v>
      </c>
      <c r="M44" s="587" t="s">
        <v>76</v>
      </c>
      <c r="N44" s="587" t="s">
        <v>76</v>
      </c>
      <c r="O44" s="587" t="s">
        <v>76</v>
      </c>
      <c r="P44" s="587" t="s">
        <v>76</v>
      </c>
      <c r="Q44" s="587" t="s">
        <v>76</v>
      </c>
      <c r="R44" s="587" t="s">
        <v>76</v>
      </c>
      <c r="S44" s="587" t="s">
        <v>76</v>
      </c>
      <c r="T44" s="587" t="s">
        <v>76</v>
      </c>
      <c r="U44" s="587" t="s">
        <v>76</v>
      </c>
      <c r="V44" s="587" t="s">
        <v>76</v>
      </c>
      <c r="W44" s="587" t="s">
        <v>76</v>
      </c>
    </row>
    <row r="45" spans="1:23" ht="129.6" x14ac:dyDescent="0.3">
      <c r="A45" s="2" t="s">
        <v>743</v>
      </c>
      <c r="B45" s="124" t="s">
        <v>158</v>
      </c>
      <c r="C45" s="361" t="s">
        <v>1602</v>
      </c>
      <c r="D45" s="145" t="s">
        <v>1828</v>
      </c>
      <c r="E45" s="145" t="s">
        <v>1828</v>
      </c>
      <c r="F45" s="145" t="s">
        <v>1828</v>
      </c>
      <c r="G45" s="145" t="s">
        <v>1828</v>
      </c>
      <c r="H45" s="145" t="s">
        <v>1828</v>
      </c>
      <c r="I45" s="145" t="s">
        <v>1828</v>
      </c>
      <c r="J45" s="145" t="s">
        <v>1828</v>
      </c>
      <c r="K45" s="145" t="s">
        <v>1828</v>
      </c>
      <c r="L45" s="145" t="s">
        <v>1869</v>
      </c>
      <c r="M45" s="145"/>
      <c r="N45" s="145"/>
      <c r="O45" s="145"/>
      <c r="P45" s="145"/>
      <c r="Q45" s="145"/>
      <c r="R45" s="145"/>
      <c r="S45" s="145"/>
      <c r="T45" s="145"/>
      <c r="U45" s="145"/>
      <c r="V45" s="145"/>
      <c r="W45" s="145"/>
    </row>
    <row r="46" spans="1:23" ht="57.6" x14ac:dyDescent="0.3">
      <c r="A46" s="2" t="s">
        <v>744</v>
      </c>
      <c r="B46" s="124" t="s">
        <v>507</v>
      </c>
      <c r="C46" s="335" t="s">
        <v>1603</v>
      </c>
      <c r="D46" s="590">
        <v>8</v>
      </c>
      <c r="E46" s="590">
        <v>2</v>
      </c>
      <c r="F46" s="590">
        <v>8</v>
      </c>
      <c r="G46" s="590">
        <v>4</v>
      </c>
      <c r="H46" s="590"/>
      <c r="I46" s="590"/>
      <c r="J46" s="590">
        <v>4</v>
      </c>
      <c r="K46" s="590">
        <v>2</v>
      </c>
      <c r="L46" s="590"/>
      <c r="M46" s="590"/>
      <c r="N46" s="590"/>
      <c r="O46" s="590"/>
      <c r="P46" s="590"/>
      <c r="Q46" s="590"/>
      <c r="R46" s="590"/>
      <c r="S46" s="590"/>
      <c r="T46" s="590"/>
      <c r="U46" s="590"/>
      <c r="V46" s="590"/>
      <c r="W46" s="590"/>
    </row>
    <row r="47" spans="1:23" x14ac:dyDescent="0.3">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86.4" x14ac:dyDescent="0.3">
      <c r="A48" s="2" t="s">
        <v>746</v>
      </c>
      <c r="B48" s="124" t="s">
        <v>1693</v>
      </c>
      <c r="C48" s="335" t="s">
        <v>1694</v>
      </c>
      <c r="D48" s="587" t="s">
        <v>77</v>
      </c>
      <c r="E48" s="587" t="s">
        <v>77</v>
      </c>
      <c r="F48" s="587" t="s">
        <v>77</v>
      </c>
      <c r="G48" s="587" t="s">
        <v>77</v>
      </c>
      <c r="H48" s="587" t="s">
        <v>77</v>
      </c>
      <c r="I48" s="587" t="s">
        <v>77</v>
      </c>
      <c r="J48" s="587" t="s">
        <v>77</v>
      </c>
      <c r="K48" s="587" t="s">
        <v>77</v>
      </c>
      <c r="L48" s="587" t="s">
        <v>77</v>
      </c>
      <c r="M48" s="587" t="s">
        <v>76</v>
      </c>
      <c r="N48" s="587" t="s">
        <v>76</v>
      </c>
      <c r="O48" s="587" t="s">
        <v>76</v>
      </c>
      <c r="P48" s="587" t="s">
        <v>76</v>
      </c>
      <c r="Q48" s="587" t="s">
        <v>76</v>
      </c>
      <c r="R48" s="587" t="s">
        <v>76</v>
      </c>
      <c r="S48" s="587" t="s">
        <v>76</v>
      </c>
      <c r="T48" s="587" t="s">
        <v>76</v>
      </c>
      <c r="U48" s="587" t="s">
        <v>76</v>
      </c>
      <c r="V48" s="587" t="s">
        <v>76</v>
      </c>
      <c r="W48" s="587" t="s">
        <v>76</v>
      </c>
    </row>
    <row r="49" spans="1:23" ht="72" x14ac:dyDescent="0.3">
      <c r="A49" s="2" t="s">
        <v>747</v>
      </c>
      <c r="B49" s="124" t="s">
        <v>1535</v>
      </c>
      <c r="C49" s="312" t="s">
        <v>1628</v>
      </c>
      <c r="D49" s="145" t="s">
        <v>1781</v>
      </c>
      <c r="E49" s="145" t="s">
        <v>1781</v>
      </c>
      <c r="F49" s="145" t="s">
        <v>1781</v>
      </c>
      <c r="G49" s="145" t="s">
        <v>1781</v>
      </c>
      <c r="H49" s="145" t="s">
        <v>1781</v>
      </c>
      <c r="I49" s="145" t="s">
        <v>1781</v>
      </c>
      <c r="J49" s="145" t="s">
        <v>1781</v>
      </c>
      <c r="K49" s="145" t="s">
        <v>1781</v>
      </c>
      <c r="L49" s="145" t="s">
        <v>1781</v>
      </c>
      <c r="M49" s="145"/>
      <c r="N49" s="145"/>
      <c r="O49" s="145"/>
      <c r="P49" s="145"/>
      <c r="Q49" s="145"/>
      <c r="R49" s="145"/>
      <c r="S49" s="145"/>
      <c r="T49" s="145"/>
      <c r="U49" s="145"/>
      <c r="V49" s="145"/>
      <c r="W49" s="145"/>
    </row>
    <row r="50" spans="1:23" x14ac:dyDescent="0.3">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86.4" x14ac:dyDescent="0.3">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76</v>
      </c>
      <c r="E51" s="587" t="s">
        <v>76</v>
      </c>
      <c r="F51" s="587" t="s">
        <v>76</v>
      </c>
      <c r="G51" s="587" t="s">
        <v>77</v>
      </c>
      <c r="H51" s="587" t="s">
        <v>77</v>
      </c>
      <c r="I51" s="587" t="s">
        <v>77</v>
      </c>
      <c r="J51" s="587" t="s">
        <v>77</v>
      </c>
      <c r="K51" s="587" t="s">
        <v>77</v>
      </c>
      <c r="L51" s="587" t="s">
        <v>77</v>
      </c>
      <c r="M51" s="587" t="s">
        <v>76</v>
      </c>
      <c r="N51" s="587" t="s">
        <v>76</v>
      </c>
      <c r="O51" s="587" t="s">
        <v>76</v>
      </c>
      <c r="P51" s="587" t="s">
        <v>76</v>
      </c>
      <c r="Q51" s="587" t="s">
        <v>76</v>
      </c>
      <c r="R51" s="587" t="s">
        <v>76</v>
      </c>
      <c r="S51" s="587" t="s">
        <v>76</v>
      </c>
      <c r="T51" s="587" t="s">
        <v>76</v>
      </c>
      <c r="U51" s="587" t="s">
        <v>76</v>
      </c>
      <c r="V51" s="587" t="s">
        <v>76</v>
      </c>
      <c r="W51" s="587" t="s">
        <v>76</v>
      </c>
    </row>
    <row r="52" spans="1:23" ht="72" x14ac:dyDescent="0.3">
      <c r="A52" s="2" t="s">
        <v>750</v>
      </c>
      <c r="B52" s="124" t="s">
        <v>1535</v>
      </c>
      <c r="C52" s="361" t="s">
        <v>1629</v>
      </c>
      <c r="D52" s="145" t="s">
        <v>1784</v>
      </c>
      <c r="E52" s="145" t="s">
        <v>1784</v>
      </c>
      <c r="F52" s="145" t="s">
        <v>1784</v>
      </c>
      <c r="G52" s="145" t="s">
        <v>1784</v>
      </c>
      <c r="H52" s="145" t="s">
        <v>1784</v>
      </c>
      <c r="I52" s="145" t="s">
        <v>1784</v>
      </c>
      <c r="J52" s="145" t="s">
        <v>1784</v>
      </c>
      <c r="K52" s="145" t="s">
        <v>1784</v>
      </c>
      <c r="L52" s="145" t="s">
        <v>1784</v>
      </c>
      <c r="M52" s="145"/>
      <c r="N52" s="145"/>
      <c r="O52" s="145"/>
      <c r="P52" s="145"/>
      <c r="Q52" s="145"/>
      <c r="R52" s="145"/>
      <c r="S52" s="145"/>
      <c r="T52" s="145"/>
      <c r="U52" s="145"/>
      <c r="V52" s="145"/>
      <c r="W52" s="145"/>
    </row>
    <row r="53" spans="1:23" x14ac:dyDescent="0.3">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3">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3.2" x14ac:dyDescent="0.3">
      <c r="A55" s="2" t="s">
        <v>753</v>
      </c>
      <c r="B55" s="99" t="str">
        <f>'6'!B8</f>
        <v>R.3</v>
      </c>
      <c r="C55" s="335" t="s">
        <v>1323</v>
      </c>
      <c r="D55" s="591" t="s">
        <v>76</v>
      </c>
      <c r="E55" s="591" t="s">
        <v>76</v>
      </c>
      <c r="F55" s="593" t="s">
        <v>76</v>
      </c>
      <c r="G55" s="593" t="s">
        <v>77</v>
      </c>
      <c r="H55" s="593" t="s">
        <v>77</v>
      </c>
      <c r="I55" s="593" t="s">
        <v>76</v>
      </c>
      <c r="J55" s="593" t="s">
        <v>76</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3.2" x14ac:dyDescent="0.3">
      <c r="A56" s="2" t="s">
        <v>754</v>
      </c>
      <c r="B56" s="99" t="str">
        <f>'6'!B9</f>
        <v>R.37</v>
      </c>
      <c r="C56" s="335" t="s">
        <v>1323</v>
      </c>
      <c r="D56" s="591" t="s">
        <v>76</v>
      </c>
      <c r="E56" s="591" t="s">
        <v>76</v>
      </c>
      <c r="F56" s="593" t="s">
        <v>76</v>
      </c>
      <c r="G56" s="593" t="s">
        <v>76</v>
      </c>
      <c r="H56" s="593" t="s">
        <v>77</v>
      </c>
      <c r="I56" s="593" t="s">
        <v>77</v>
      </c>
      <c r="J56" s="593" t="s">
        <v>77</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3.2" x14ac:dyDescent="0.3">
      <c r="A57" s="2" t="s">
        <v>755</v>
      </c>
      <c r="B57" s="99" t="str">
        <f>'6'!B10</f>
        <v>R.39</v>
      </c>
      <c r="C57" s="335" t="s">
        <v>1323</v>
      </c>
      <c r="D57" s="591" t="s">
        <v>76</v>
      </c>
      <c r="E57" s="591" t="s">
        <v>76</v>
      </c>
      <c r="F57" s="593" t="s">
        <v>76</v>
      </c>
      <c r="G57" s="593" t="s">
        <v>76</v>
      </c>
      <c r="H57" s="593" t="s">
        <v>77</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3.2" x14ac:dyDescent="0.3">
      <c r="A58" s="2" t="s">
        <v>756</v>
      </c>
      <c r="B58" s="99" t="str">
        <f>'6'!B11</f>
        <v>R.41</v>
      </c>
      <c r="C58" s="335" t="s">
        <v>1323</v>
      </c>
      <c r="D58" s="591" t="s">
        <v>77</v>
      </c>
      <c r="E58" s="591" t="s">
        <v>77</v>
      </c>
      <c r="F58" s="593" t="s">
        <v>77</v>
      </c>
      <c r="G58" s="593" t="s">
        <v>77</v>
      </c>
      <c r="H58" s="593" t="s">
        <v>76</v>
      </c>
      <c r="I58" s="593" t="s">
        <v>76</v>
      </c>
      <c r="J58" s="593" t="s">
        <v>76</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3.2" x14ac:dyDescent="0.3">
      <c r="A59" s="2" t="s">
        <v>757</v>
      </c>
      <c r="B59" s="99" t="str">
        <f>'6'!B12</f>
        <v>R.42</v>
      </c>
      <c r="C59" s="335" t="s">
        <v>1323</v>
      </c>
      <c r="D59" s="591" t="s">
        <v>77</v>
      </c>
      <c r="E59" s="591" t="s">
        <v>76</v>
      </c>
      <c r="F59" s="593" t="s">
        <v>77</v>
      </c>
      <c r="G59" s="593" t="s">
        <v>76</v>
      </c>
      <c r="H59" s="593" t="s">
        <v>76</v>
      </c>
      <c r="I59" s="593" t="s">
        <v>76</v>
      </c>
      <c r="J59" s="593" t="s">
        <v>76</v>
      </c>
      <c r="K59" s="593" t="s">
        <v>77</v>
      </c>
      <c r="L59" s="593" t="s">
        <v>77</v>
      </c>
      <c r="M59" s="593" t="s">
        <v>76</v>
      </c>
      <c r="N59" s="593" t="s">
        <v>76</v>
      </c>
      <c r="O59" s="593" t="s">
        <v>76</v>
      </c>
      <c r="P59" s="593" t="s">
        <v>76</v>
      </c>
      <c r="Q59" s="593" t="s">
        <v>76</v>
      </c>
      <c r="R59" s="593" t="s">
        <v>76</v>
      </c>
      <c r="S59" s="593" t="s">
        <v>76</v>
      </c>
      <c r="T59" s="593" t="s">
        <v>76</v>
      </c>
      <c r="U59" s="593" t="s">
        <v>76</v>
      </c>
      <c r="V59" s="593" t="s">
        <v>76</v>
      </c>
      <c r="W59" s="593" t="s">
        <v>76</v>
      </c>
    </row>
    <row r="60" spans="1:23" x14ac:dyDescent="0.3">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3.2" x14ac:dyDescent="0.3">
      <c r="A61" s="2" t="s">
        <v>759</v>
      </c>
      <c r="B61" s="99" t="str">
        <f>'6'!B35</f>
        <v>TRAK-P.1</v>
      </c>
      <c r="C61" s="335" t="s">
        <v>1323</v>
      </c>
      <c r="D61" s="591" t="s">
        <v>77</v>
      </c>
      <c r="E61" s="591" t="s">
        <v>76</v>
      </c>
      <c r="F61" s="593" t="s">
        <v>76</v>
      </c>
      <c r="G61" s="593" t="s">
        <v>76</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3.2" x14ac:dyDescent="0.3">
      <c r="A62" s="2" t="s">
        <v>760</v>
      </c>
      <c r="B62" s="99" t="str">
        <f>'6'!B36</f>
        <v>TRAK-P.2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3.2" x14ac:dyDescent="0.3">
      <c r="A63" s="2" t="s">
        <v>761</v>
      </c>
      <c r="B63" s="99" t="str">
        <f>'6'!B37</f>
        <v>TRAK-P.3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3.2" x14ac:dyDescent="0.3">
      <c r="A64" s="2" t="s">
        <v>762</v>
      </c>
      <c r="B64" s="99" t="str">
        <f>'6'!B38</f>
        <v>TRAK-P.4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3.2" x14ac:dyDescent="0.3">
      <c r="A65" s="2" t="s">
        <v>763</v>
      </c>
      <c r="B65" s="99" t="str">
        <f>'6'!B39</f>
        <v>TRAK-P.5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3.2" x14ac:dyDescent="0.3">
      <c r="A66" s="2" t="s">
        <v>764</v>
      </c>
      <c r="B66" s="99" t="str">
        <f>'6'!B40</f>
        <v>TRAK-P.6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3.2" x14ac:dyDescent="0.3">
      <c r="A67" s="2" t="s">
        <v>765</v>
      </c>
      <c r="B67" s="99" t="str">
        <f>'6'!B41</f>
        <v>TRAK-P.7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3.2" x14ac:dyDescent="0.3">
      <c r="A68" s="2" t="s">
        <v>766</v>
      </c>
      <c r="B68" s="99" t="str">
        <f>'6'!B42</f>
        <v>TRAK-P.8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3.2" x14ac:dyDescent="0.3">
      <c r="A69" s="2" t="s">
        <v>767</v>
      </c>
      <c r="B69" s="99" t="str">
        <f>'6'!B43</f>
        <v>TRAK-P.9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3.2" x14ac:dyDescent="0.3">
      <c r="A70" s="2" t="s">
        <v>768</v>
      </c>
      <c r="B70" s="130" t="str">
        <f>'6'!B44</f>
        <v>TRAK-P.10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x14ac:dyDescent="0.3">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3">
      <c r="A72" s="2" t="s">
        <v>770</v>
      </c>
      <c r="B72" s="125" t="s">
        <v>508</v>
      </c>
      <c r="C72" s="335" t="s">
        <v>1515</v>
      </c>
      <c r="D72" s="587" t="s">
        <v>76</v>
      </c>
      <c r="E72" s="587" t="s">
        <v>76</v>
      </c>
      <c r="F72" s="587" t="s">
        <v>76</v>
      </c>
      <c r="G72" s="587" t="s">
        <v>76</v>
      </c>
      <c r="H72" s="587" t="s">
        <v>77</v>
      </c>
      <c r="I72" s="587" t="s">
        <v>77</v>
      </c>
      <c r="J72" s="587" t="s">
        <v>77</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86.4" x14ac:dyDescent="0.3">
      <c r="A73" s="2" t="s">
        <v>771</v>
      </c>
      <c r="B73" s="127" t="s">
        <v>509</v>
      </c>
      <c r="C73" s="335" t="s">
        <v>1630</v>
      </c>
      <c r="D73" s="587" t="s">
        <v>77</v>
      </c>
      <c r="E73" s="587" t="s">
        <v>76</v>
      </c>
      <c r="F73" s="587" t="s">
        <v>76</v>
      </c>
      <c r="G73" s="587" t="s">
        <v>76</v>
      </c>
      <c r="H73" s="587" t="s">
        <v>76</v>
      </c>
      <c r="I73" s="587" t="s">
        <v>76</v>
      </c>
      <c r="J73" s="587" t="s">
        <v>76</v>
      </c>
      <c r="K73" s="587" t="s">
        <v>76</v>
      </c>
      <c r="L73" s="587" t="s">
        <v>76</v>
      </c>
      <c r="M73" s="587" t="s">
        <v>76</v>
      </c>
      <c r="N73" s="587" t="s">
        <v>76</v>
      </c>
      <c r="O73" s="587" t="s">
        <v>76</v>
      </c>
      <c r="P73" s="587" t="s">
        <v>76</v>
      </c>
      <c r="Q73" s="587" t="s">
        <v>76</v>
      </c>
      <c r="R73" s="587" t="s">
        <v>76</v>
      </c>
      <c r="S73" s="587" t="s">
        <v>76</v>
      </c>
      <c r="T73" s="587" t="s">
        <v>76</v>
      </c>
      <c r="U73" s="587" t="s">
        <v>76</v>
      </c>
      <c r="V73" s="587" t="s">
        <v>76</v>
      </c>
      <c r="W73" s="587" t="s">
        <v>76</v>
      </c>
    </row>
    <row r="74" spans="1:23" ht="86.4" x14ac:dyDescent="0.3">
      <c r="A74" s="2" t="s">
        <v>772</v>
      </c>
      <c r="B74" s="127" t="s">
        <v>1675</v>
      </c>
      <c r="C74" s="335" t="s">
        <v>1516</v>
      </c>
      <c r="D74" s="587" t="s">
        <v>76</v>
      </c>
      <c r="E74" s="587" t="s">
        <v>76</v>
      </c>
      <c r="F74" s="587" t="s">
        <v>76</v>
      </c>
      <c r="G74" s="587" t="s">
        <v>76</v>
      </c>
      <c r="H74" s="587" t="s">
        <v>76</v>
      </c>
      <c r="I74" s="587" t="s">
        <v>77</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86.4" x14ac:dyDescent="0.3">
      <c r="A75" s="2" t="s">
        <v>773</v>
      </c>
      <c r="B75" s="127" t="s">
        <v>516</v>
      </c>
      <c r="C75" s="335" t="s">
        <v>1517</v>
      </c>
      <c r="D75" s="587" t="s">
        <v>77</v>
      </c>
      <c r="E75" s="587" t="s">
        <v>76</v>
      </c>
      <c r="F75" s="587" t="s">
        <v>76</v>
      </c>
      <c r="G75" s="587" t="s">
        <v>76</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86.4" x14ac:dyDescent="0.3">
      <c r="A76" s="2" t="s">
        <v>774</v>
      </c>
      <c r="B76" s="127" t="s">
        <v>510</v>
      </c>
      <c r="C76" s="335" t="s">
        <v>1518</v>
      </c>
      <c r="D76" s="587" t="s">
        <v>77</v>
      </c>
      <c r="E76" s="587" t="s">
        <v>77</v>
      </c>
      <c r="F76" s="587" t="s">
        <v>76</v>
      </c>
      <c r="G76" s="587" t="s">
        <v>76</v>
      </c>
      <c r="H76" s="587" t="s">
        <v>76</v>
      </c>
      <c r="I76" s="587" t="s">
        <v>76</v>
      </c>
      <c r="J76" s="587" t="s">
        <v>77</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43.2" x14ac:dyDescent="0.3">
      <c r="A77" s="2" t="s">
        <v>775</v>
      </c>
      <c r="B77" s="127" t="s">
        <v>511</v>
      </c>
      <c r="C77" s="335" t="s">
        <v>1519</v>
      </c>
      <c r="D77" s="587" t="s">
        <v>76</v>
      </c>
      <c r="E77" s="587" t="s">
        <v>76</v>
      </c>
      <c r="F77" s="587" t="s">
        <v>76</v>
      </c>
      <c r="G77" s="587" t="s">
        <v>76</v>
      </c>
      <c r="H77" s="587" t="s">
        <v>77</v>
      </c>
      <c r="I77" s="587" t="s">
        <v>77</v>
      </c>
      <c r="J77" s="587" t="s">
        <v>77</v>
      </c>
      <c r="K77" s="587" t="s">
        <v>77</v>
      </c>
      <c r="L77" s="587" t="s">
        <v>77</v>
      </c>
      <c r="M77" s="587" t="s">
        <v>76</v>
      </c>
      <c r="N77" s="587" t="s">
        <v>76</v>
      </c>
      <c r="O77" s="587" t="s">
        <v>76</v>
      </c>
      <c r="P77" s="587" t="s">
        <v>76</v>
      </c>
      <c r="Q77" s="587" t="s">
        <v>76</v>
      </c>
      <c r="R77" s="587" t="s">
        <v>76</v>
      </c>
      <c r="S77" s="587" t="s">
        <v>76</v>
      </c>
      <c r="T77" s="587" t="s">
        <v>76</v>
      </c>
      <c r="U77" s="587" t="s">
        <v>76</v>
      </c>
      <c r="V77" s="587" t="s">
        <v>76</v>
      </c>
      <c r="W77" s="587" t="s">
        <v>76</v>
      </c>
    </row>
    <row r="78" spans="1:23" ht="43.2" x14ac:dyDescent="0.3">
      <c r="A78" s="2" t="s">
        <v>776</v>
      </c>
      <c r="B78" s="127" t="s">
        <v>512</v>
      </c>
      <c r="C78" s="335" t="s">
        <v>1520</v>
      </c>
      <c r="D78" s="587" t="s">
        <v>76</v>
      </c>
      <c r="E78" s="587" t="s">
        <v>76</v>
      </c>
      <c r="F78" s="587" t="s">
        <v>76</v>
      </c>
      <c r="G78" s="587" t="s">
        <v>76</v>
      </c>
      <c r="H78" s="587" t="s">
        <v>76</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57.6" x14ac:dyDescent="0.3">
      <c r="A79" s="2" t="s">
        <v>777</v>
      </c>
      <c r="B79" s="127" t="s">
        <v>513</v>
      </c>
      <c r="C79" s="335" t="s">
        <v>1521</v>
      </c>
      <c r="D79" s="587" t="s">
        <v>76</v>
      </c>
      <c r="E79" s="587" t="s">
        <v>76</v>
      </c>
      <c r="F79" s="587" t="s">
        <v>76</v>
      </c>
      <c r="G79" s="587" t="s">
        <v>76</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43.2" x14ac:dyDescent="0.3">
      <c r="A80" s="2" t="s">
        <v>778</v>
      </c>
      <c r="B80" s="127" t="s">
        <v>514</v>
      </c>
      <c r="C80" s="335" t="s">
        <v>1522</v>
      </c>
      <c r="D80" s="587" t="s">
        <v>77</v>
      </c>
      <c r="E80" s="587" t="s">
        <v>76</v>
      </c>
      <c r="F80" s="587" t="s">
        <v>76</v>
      </c>
      <c r="G80" s="587" t="s">
        <v>76</v>
      </c>
      <c r="H80" s="587" t="s">
        <v>76</v>
      </c>
      <c r="I80" s="587" t="s">
        <v>76</v>
      </c>
      <c r="J80" s="587" t="s">
        <v>76</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43.2" x14ac:dyDescent="0.3">
      <c r="A81" s="2" t="s">
        <v>779</v>
      </c>
      <c r="B81" s="127" t="s">
        <v>515</v>
      </c>
      <c r="C81" s="335" t="s">
        <v>1523</v>
      </c>
      <c r="D81" s="587" t="s">
        <v>76</v>
      </c>
      <c r="E81" s="587" t="s">
        <v>76</v>
      </c>
      <c r="F81" s="587" t="s">
        <v>76</v>
      </c>
      <c r="G81" s="587" t="s">
        <v>76</v>
      </c>
      <c r="H81" s="587" t="s">
        <v>76</v>
      </c>
      <c r="I81" s="587" t="s">
        <v>76</v>
      </c>
      <c r="J81" s="587" t="s">
        <v>76</v>
      </c>
      <c r="K81" s="587" t="s">
        <v>77</v>
      </c>
      <c r="L81" s="587" t="s">
        <v>77</v>
      </c>
      <c r="M81" s="587" t="s">
        <v>76</v>
      </c>
      <c r="N81" s="587" t="s">
        <v>76</v>
      </c>
      <c r="O81" s="587" t="s">
        <v>76</v>
      </c>
      <c r="P81" s="587" t="s">
        <v>76</v>
      </c>
      <c r="Q81" s="587" t="s">
        <v>76</v>
      </c>
      <c r="R81" s="587" t="s">
        <v>76</v>
      </c>
      <c r="S81" s="587" t="s">
        <v>76</v>
      </c>
      <c r="T81" s="587" t="s">
        <v>76</v>
      </c>
      <c r="U81" s="587" t="s">
        <v>76</v>
      </c>
      <c r="V81" s="587" t="s">
        <v>76</v>
      </c>
      <c r="W81" s="587" t="s">
        <v>76</v>
      </c>
    </row>
    <row r="82" spans="1:23" x14ac:dyDescent="0.3">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xr:uid="{00000000-0002-0000-0A00-000000000000}">
      <formula1>0</formula1>
      <formula2>2000000</formula2>
    </dataValidation>
    <dataValidation type="whole" allowBlank="1" showInputMessage="1" showErrorMessage="1" prompt="Įveskite sveiką skaičių be tarpų. Maksimali reikšmė - 200." sqref="D34:W34 D46:W46" xr:uid="{00000000-0002-0000-0A00-000001000000}">
      <formula1>0</formula1>
      <formula2>200</formula2>
    </dataValidation>
    <dataValidation type="textLength" allowBlank="1" showInputMessage="1" showErrorMessage="1" prompt="Maksimalus simbolių skaičius - 500" sqref="D18:W22 D27:W28" xr:uid="{00000000-0002-0000-0A00-000002000000}">
      <formula1>0</formula1>
      <formula2>500</formula2>
    </dataValidation>
    <dataValidation type="textLength" allowBlank="1" showInputMessage="1" showErrorMessage="1" prompt="Maksimalus simbolių skaičius - 300" sqref="D35:W35 D24:W24 D39:W39 D42:W42 D45:W45 D49:W49 D52:W52" xr:uid="{00000000-0002-0000-0A00-000003000000}">
      <formula1>0</formula1>
      <formula2>300</formula2>
    </dataValidation>
    <dataValidation type="textLength" allowBlank="1" showInputMessage="1" showErrorMessage="1" prompt="Maksimalus simbolių skaičius - 50" sqref="D31:W31" xr:uid="{00000000-0002-0000-0A00-000004000000}">
      <formula1>0</formula1>
      <formula2>50</formula2>
    </dataValidation>
    <dataValidation type="textLength" allowBlank="1" showInputMessage="1" showErrorMessage="1" prompt="Maksimalus simbolių skaičius - 150" sqref="K25 L25:W26 J25 I25 H25 G25 F25 E25 D25" xr:uid="{00000000-0002-0000-0A00-000005000000}">
      <formula1>0</formula1>
      <formula2>150</formula2>
    </dataValidation>
    <dataValidation type="textLength" allowBlank="1" showInputMessage="1" showErrorMessage="1" prompt="Maksimalus simbolių skaičius - 1000" sqref="D17:W17" xr:uid="{00000000-0002-0000-0A00-000006000000}">
      <formula1>0</formula1>
      <formula2>1000</formula2>
    </dataValidation>
    <dataValidation type="textLength" allowBlank="1" showInputMessage="1" showErrorMessage="1" prompt="Maksimalus simbolių skaičius - 200" sqref="D32:W32" xr:uid="{00000000-0002-0000-0A00-000007000000}">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8000000}">
          <x14:formula1>
            <xm:f>Sąrašai!$A$23:$A$24</xm:f>
          </x14:formula1>
          <xm:sqref>D38:W38 D12:W15 D61:W70 D55:W59 D72:W81 D51:W51 D48:W48</xm:sqref>
        </x14:dataValidation>
        <x14:dataValidation type="list" allowBlank="1" showInputMessage="1" showErrorMessage="1" xr:uid="{00000000-0002-0000-0A00-000009000000}">
          <x14:formula1>
            <xm:f>Sąrašai!$A$28:$A$30</xm:f>
          </x14:formula1>
          <xm:sqref>D44:W44 D41:W41</xm:sqref>
        </x14:dataValidation>
        <x14:dataValidation type="list" allowBlank="1" showInputMessage="1" showErrorMessage="1" xr:uid="{00000000-0002-0000-0A00-00000A000000}">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Y268"/>
  <sheetViews>
    <sheetView zoomScaleNormal="100" workbookViewId="0">
      <pane xSplit="3" ySplit="7" topLeftCell="D116" activePane="bottomRight" state="frozen"/>
      <selection pane="topRight"/>
      <selection pane="bottomLeft"/>
      <selection pane="bottomRight" activeCell="I96" sqref="I96"/>
    </sheetView>
  </sheetViews>
  <sheetFormatPr defaultColWidth="9.109375" defaultRowHeight="14.4" x14ac:dyDescent="0.3"/>
  <cols>
    <col min="1" max="1" width="8.6640625" style="13" customWidth="1"/>
    <col min="2" max="2" width="48.6640625" style="13" customWidth="1"/>
    <col min="3" max="3" width="15.6640625" style="15" customWidth="1"/>
    <col min="4" max="23" width="12.6640625" style="219" customWidth="1"/>
    <col min="24" max="24" width="9.109375" style="13"/>
    <col min="25" max="25" width="15.6640625" style="18" hidden="1" customWidth="1"/>
    <col min="26" max="16384" width="9.109375" style="13"/>
  </cols>
  <sheetData>
    <row r="1" spans="1:25" s="38" customFormat="1" ht="18" x14ac:dyDescent="0.3">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3">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3">
      <c r="A3" s="1"/>
      <c r="B3" s="140" t="s">
        <v>1272</v>
      </c>
      <c r="C3" s="205" t="str">
        <f>'1'!C8</f>
        <v>TRAK</v>
      </c>
      <c r="Y3" s="13"/>
    </row>
    <row r="4" spans="1:25" s="1" customFormat="1" x14ac:dyDescent="0.3">
      <c r="D4" s="193"/>
      <c r="E4" s="193"/>
      <c r="F4" s="193"/>
      <c r="G4" s="193"/>
      <c r="H4" s="193"/>
      <c r="I4" s="193"/>
      <c r="J4" s="193"/>
      <c r="K4" s="193"/>
      <c r="L4" s="193"/>
      <c r="M4" s="193"/>
      <c r="N4" s="193"/>
      <c r="O4" s="193"/>
      <c r="P4" s="193"/>
      <c r="Q4" s="193"/>
      <c r="R4" s="193"/>
      <c r="S4" s="193"/>
      <c r="T4" s="193"/>
      <c r="U4" s="193"/>
      <c r="V4" s="193"/>
      <c r="W4" s="193"/>
      <c r="Y4" s="18"/>
    </row>
    <row r="5" spans="1:25" x14ac:dyDescent="0.3">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3">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3">
      <c r="A7" s="1" t="s">
        <v>539</v>
      </c>
      <c r="B7" s="433"/>
      <c r="C7" s="194" t="s">
        <v>160</v>
      </c>
      <c r="D7" s="407" t="str">
        <f>'10'!D7</f>
        <v>Kraštovaizdžio išsaugojimas ir pritaikymas poilsiui, sveikatinimui, turzmui</v>
      </c>
      <c r="E7" s="407" t="str">
        <f>'10'!E7</f>
        <v>Tvarios aplinkos kūrimas, aplinkosauginio sąmoningumo didinimas</v>
      </c>
      <c r="F7" s="407" t="str">
        <f>'10'!F7</f>
        <v>Jaunimo ir su jaunimu dirbančių organizacijų stiprinimas, jaunimo užimtumo įvairinimas</v>
      </c>
      <c r="G7" s="407" t="str">
        <f>'10'!G7</f>
        <v>Potencialių pareiškėjų ir projektų vykdytojų mokymai</v>
      </c>
      <c r="H7" s="407" t="str">
        <f>'10'!H7</f>
        <v>Skaitmeninių, informacinių, komunikacinių technologijų taikymas versle</v>
      </c>
      <c r="I7" s="407" t="str">
        <f>'10'!I7</f>
        <v>Vietos produktų /paslaugų kūrimas ir (ar) populiarinimas taikant inovacijas</v>
      </c>
      <c r="J7" s="407" t="str">
        <f>'10'!J7</f>
        <v>Paslaugų įvairinimas/kūrimas, stiprinant materialinę bazę ir (ar) kompetencijas</v>
      </c>
      <c r="K7" s="407" t="str">
        <f>'10'!K7</f>
        <v xml:space="preserve">Vietos gyventojų socialinio aktyvumo bei verslumo skatinimas įtraukiant pažeidžiamas grupes </v>
      </c>
      <c r="L7" s="407" t="str">
        <f>'10'!L7</f>
        <v>Bendruomeninio verslo kūrimas skatinant savanorystę</v>
      </c>
      <c r="M7" s="407" t="str">
        <f>'10'!M7</f>
        <v>Tarptautinis, teritorinis bendradarbiavimas</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3">
      <c r="A8" s="1" t="s">
        <v>540</v>
      </c>
      <c r="B8" s="124" t="s">
        <v>1458</v>
      </c>
      <c r="C8" s="131">
        <f>COUNTIFS(D8:W8,"taip")</f>
        <v>2</v>
      </c>
      <c r="D8" s="409" t="str">
        <f>HLOOKUP(D$6,'10'!D$6:D$70,$Y8,FALSE)</f>
        <v>Ne</v>
      </c>
      <c r="E8" s="410" t="str">
        <f>HLOOKUP(E$6,'10'!E$6:E$70,$Y8,FALSE)</f>
        <v>Ne</v>
      </c>
      <c r="F8" s="410" t="str">
        <f>HLOOKUP(F$6,'10'!F$6:F$70,$Y8,FALSE)</f>
        <v>Ne</v>
      </c>
      <c r="G8" s="410" t="str">
        <f>HLOOKUP(G$6,'10'!G$6:G$70,$Y8,FALSE)</f>
        <v>Taip</v>
      </c>
      <c r="H8" s="410" t="str">
        <f>HLOOKUP(H$6,'10'!H$6:H$70,$Y8,FALSE)</f>
        <v>Taip</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3">
      <c r="A9" s="1" t="s">
        <v>541</v>
      </c>
      <c r="B9" s="130" t="s">
        <v>456</v>
      </c>
      <c r="C9" s="412">
        <f>SUM(D9:W9)</f>
        <v>2</v>
      </c>
      <c r="D9" s="413"/>
      <c r="E9" s="414"/>
      <c r="F9" s="414"/>
      <c r="G9" s="414"/>
      <c r="H9" s="414">
        <v>2</v>
      </c>
      <c r="I9" s="414"/>
      <c r="J9" s="414"/>
      <c r="K9" s="414"/>
      <c r="L9" s="414"/>
      <c r="M9" s="414"/>
      <c r="N9" s="414"/>
      <c r="O9" s="414"/>
      <c r="P9" s="414"/>
      <c r="Q9" s="414"/>
      <c r="R9" s="414"/>
      <c r="S9" s="414"/>
      <c r="T9" s="414"/>
      <c r="U9" s="414"/>
      <c r="V9" s="414"/>
      <c r="W9" s="415"/>
      <c r="Y9" s="121"/>
    </row>
    <row r="10" spans="1:25" x14ac:dyDescent="0.3">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3">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3">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3">
      <c r="A13" s="1" t="s">
        <v>545</v>
      </c>
      <c r="B13" s="420" t="s">
        <v>102</v>
      </c>
      <c r="C13" s="425">
        <v>1</v>
      </c>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3">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3">
      <c r="A15" s="1" t="s">
        <v>547</v>
      </c>
      <c r="B15" s="420" t="s">
        <v>104</v>
      </c>
      <c r="C15" s="425">
        <v>1</v>
      </c>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3">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3">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3">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3">
      <c r="A19" s="1" t="s">
        <v>551</v>
      </c>
      <c r="B19" s="128" t="s">
        <v>160</v>
      </c>
      <c r="C19" s="429">
        <f>SUM(C11:C16)</f>
        <v>2</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3">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3">
      <c r="A21" s="1" t="s">
        <v>553</v>
      </c>
      <c r="B21" s="1"/>
      <c r="Y21" s="121"/>
    </row>
    <row r="22" spans="1:25" ht="21" x14ac:dyDescent="0.3">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3">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3">
      <c r="A24" s="1" t="s">
        <v>556</v>
      </c>
      <c r="B24" s="124" t="str">
        <f>$B$8</f>
        <v>Ar rodiklis taikomas VPS priemonei?</v>
      </c>
      <c r="C24" s="131">
        <f>COUNTIFS(D24:W24,"taip")</f>
        <v>3</v>
      </c>
      <c r="D24" s="410" t="str">
        <f>HLOOKUP(D$6,'10'!D$6:D$70,$Y24,FALSE)</f>
        <v>Ne</v>
      </c>
      <c r="E24" s="410" t="str">
        <f>HLOOKUP(E$6,'10'!E$6:E$70,$Y24,FALSE)</f>
        <v>Ne</v>
      </c>
      <c r="F24" s="410" t="str">
        <f>HLOOKUP(F$6,'10'!F$6:F$70,$Y24,FALSE)</f>
        <v>Ne</v>
      </c>
      <c r="G24" s="410" t="str">
        <f>HLOOKUP(G$6,'10'!G$6:G$70,$Y24,FALSE)</f>
        <v>Ne</v>
      </c>
      <c r="H24" s="410" t="str">
        <f>HLOOKUP(H$6,'10'!H$6:H$70,$Y24,FALSE)</f>
        <v>Taip</v>
      </c>
      <c r="I24" s="410" t="str">
        <f>HLOOKUP(I$6,'10'!I$6:I$70,$Y24,FALSE)</f>
        <v>Taip</v>
      </c>
      <c r="J24" s="410" t="str">
        <f>HLOOKUP(J$6,'10'!J$6:J$70,$Y24,FALSE)</f>
        <v>Taip</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3">
      <c r="A25" s="1" t="s">
        <v>557</v>
      </c>
      <c r="B25" s="130" t="str">
        <f>B9</f>
        <v>Kiekybinis tikslas iki 2029 m.</v>
      </c>
      <c r="C25" s="412">
        <f>SUM(D25:W25)</f>
        <v>9.5</v>
      </c>
      <c r="D25" s="435"/>
      <c r="E25" s="435"/>
      <c r="F25" s="435"/>
      <c r="G25" s="435"/>
      <c r="H25" s="435">
        <v>2</v>
      </c>
      <c r="I25" s="435">
        <v>1</v>
      </c>
      <c r="J25" s="435">
        <v>4</v>
      </c>
      <c r="K25" s="435">
        <v>2</v>
      </c>
      <c r="L25" s="435">
        <v>0.5</v>
      </c>
      <c r="M25" s="435"/>
      <c r="N25" s="435"/>
      <c r="O25" s="435"/>
      <c r="P25" s="435"/>
      <c r="Q25" s="435"/>
      <c r="R25" s="435"/>
      <c r="S25" s="435"/>
      <c r="T25" s="435"/>
      <c r="U25" s="435"/>
      <c r="V25" s="435"/>
      <c r="W25" s="436"/>
      <c r="Y25" s="121"/>
    </row>
    <row r="26" spans="1:25" x14ac:dyDescent="0.3">
      <c r="A26" s="1" t="s">
        <v>558</v>
      </c>
      <c r="B26" s="130" t="s">
        <v>1461</v>
      </c>
      <c r="C26" s="743"/>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3">
      <c r="A27" s="1" t="s">
        <v>559</v>
      </c>
      <c r="B27" s="130" t="s">
        <v>1462</v>
      </c>
      <c r="C27" s="744"/>
      <c r="D27" s="400" t="s">
        <v>76</v>
      </c>
      <c r="E27" s="400" t="s">
        <v>76</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3">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3">
      <c r="A29" s="1" t="s">
        <v>561</v>
      </c>
      <c r="B29" s="99" t="s">
        <v>100</v>
      </c>
      <c r="C29" s="425"/>
      <c r="D29" s="422"/>
      <c r="E29" s="423"/>
      <c r="F29" s="423"/>
      <c r="G29" s="423"/>
      <c r="H29" s="423"/>
      <c r="I29" s="423"/>
      <c r="J29" s="423"/>
      <c r="K29" s="423"/>
      <c r="L29" s="423"/>
      <c r="M29" s="423"/>
      <c r="N29" s="423"/>
      <c r="O29" s="423"/>
      <c r="P29" s="423"/>
      <c r="Q29" s="423"/>
      <c r="R29" s="423"/>
      <c r="S29" s="423"/>
      <c r="T29" s="423"/>
      <c r="U29" s="423"/>
      <c r="V29" s="423"/>
      <c r="W29" s="424"/>
      <c r="Y29" s="121"/>
    </row>
    <row r="30" spans="1:25" x14ac:dyDescent="0.3">
      <c r="A30" s="1" t="s">
        <v>562</v>
      </c>
      <c r="B30" s="99" t="s">
        <v>101</v>
      </c>
      <c r="C30" s="425">
        <v>1</v>
      </c>
      <c r="D30" s="422"/>
      <c r="E30" s="423"/>
      <c r="F30" s="423"/>
      <c r="G30" s="423"/>
      <c r="H30" s="423"/>
      <c r="I30" s="423"/>
      <c r="J30" s="423"/>
      <c r="K30" s="423"/>
      <c r="L30" s="423"/>
      <c r="M30" s="423"/>
      <c r="N30" s="423"/>
      <c r="O30" s="423"/>
      <c r="P30" s="423"/>
      <c r="Q30" s="423"/>
      <c r="R30" s="423"/>
      <c r="S30" s="423"/>
      <c r="T30" s="423"/>
      <c r="U30" s="423"/>
      <c r="V30" s="423"/>
      <c r="W30" s="424"/>
      <c r="Y30" s="121"/>
    </row>
    <row r="31" spans="1:25" x14ac:dyDescent="0.3">
      <c r="A31" s="1" t="s">
        <v>563</v>
      </c>
      <c r="B31" s="99" t="s">
        <v>102</v>
      </c>
      <c r="C31" s="15">
        <v>3</v>
      </c>
      <c r="D31" s="422"/>
      <c r="E31" s="423"/>
      <c r="F31" s="423"/>
      <c r="G31" s="423"/>
      <c r="H31" s="423"/>
      <c r="I31" s="423"/>
      <c r="J31" s="423"/>
      <c r="K31" s="423"/>
      <c r="L31" s="423"/>
      <c r="M31" s="423"/>
      <c r="N31" s="423"/>
      <c r="O31" s="423"/>
      <c r="P31" s="423"/>
      <c r="Q31" s="423"/>
      <c r="R31" s="423"/>
      <c r="S31" s="423"/>
      <c r="T31" s="423"/>
      <c r="U31" s="423"/>
      <c r="V31" s="423"/>
      <c r="W31" s="424"/>
      <c r="Y31" s="121"/>
    </row>
    <row r="32" spans="1:25" x14ac:dyDescent="0.3">
      <c r="A32" s="1" t="s">
        <v>564</v>
      </c>
      <c r="B32" s="99" t="s">
        <v>103</v>
      </c>
      <c r="C32" s="425">
        <v>5</v>
      </c>
      <c r="D32" s="422"/>
      <c r="E32" s="423"/>
      <c r="F32" s="423"/>
      <c r="G32" s="423"/>
      <c r="H32" s="423"/>
      <c r="I32" s="423"/>
      <c r="J32" s="423"/>
      <c r="K32" s="423"/>
      <c r="L32" s="423"/>
      <c r="M32" s="423"/>
      <c r="N32" s="423"/>
      <c r="O32" s="423"/>
      <c r="P32" s="423"/>
      <c r="Q32" s="423"/>
      <c r="R32" s="423"/>
      <c r="S32" s="423"/>
      <c r="T32" s="423"/>
      <c r="U32" s="423"/>
      <c r="V32" s="423"/>
      <c r="W32" s="424"/>
      <c r="Y32" s="121"/>
    </row>
    <row r="33" spans="1:25" x14ac:dyDescent="0.3">
      <c r="A33" s="1" t="s">
        <v>565</v>
      </c>
      <c r="B33" s="99" t="s">
        <v>104</v>
      </c>
      <c r="C33" s="425">
        <v>0.5</v>
      </c>
      <c r="D33" s="422"/>
      <c r="E33" s="423"/>
      <c r="F33" s="423"/>
      <c r="G33" s="423"/>
      <c r="H33" s="423"/>
      <c r="I33" s="423"/>
      <c r="J33" s="423"/>
      <c r="K33" s="423"/>
      <c r="L33" s="423"/>
      <c r="M33" s="423"/>
      <c r="N33" s="423"/>
      <c r="O33" s="423"/>
      <c r="P33" s="423"/>
      <c r="Q33" s="423"/>
      <c r="R33" s="423"/>
      <c r="S33" s="423"/>
      <c r="T33" s="423"/>
      <c r="U33" s="423"/>
      <c r="V33" s="423"/>
      <c r="W33" s="424"/>
      <c r="Y33" s="121"/>
    </row>
    <row r="34" spans="1:25" x14ac:dyDescent="0.3">
      <c r="A34" s="1" t="s">
        <v>566</v>
      </c>
      <c r="B34" s="99" t="s">
        <v>105</v>
      </c>
      <c r="C34" s="425"/>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3">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3">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3">
      <c r="A37" s="1" t="s">
        <v>569</v>
      </c>
      <c r="B37" s="128" t="s">
        <v>160</v>
      </c>
      <c r="C37" s="438">
        <f>SUM(C29:C34)</f>
        <v>9.5</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3">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3">
      <c r="A39" s="1" t="s">
        <v>571</v>
      </c>
      <c r="B39" s="1"/>
      <c r="C39" s="13"/>
      <c r="Y39" s="121"/>
    </row>
    <row r="40" spans="1:25" ht="21" x14ac:dyDescent="0.3">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3">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3">
      <c r="A42" s="1" t="s">
        <v>574</v>
      </c>
      <c r="B42" s="124" t="str">
        <f>$B$8</f>
        <v>Ar rodiklis taikomas VPS priemonei?</v>
      </c>
      <c r="C42" s="131">
        <f>COUNTIFS(D42:W42,"taip")</f>
        <v>1</v>
      </c>
      <c r="D42" s="410" t="str">
        <f>HLOOKUP(D$6,'10'!D$6:D$70,$Y42,FALSE)</f>
        <v>Ne</v>
      </c>
      <c r="E42" s="410" t="str">
        <f>HLOOKUP(E$6,'10'!E$6:E$70,$Y42,FALSE)</f>
        <v>Ne</v>
      </c>
      <c r="F42" s="410" t="str">
        <f>HLOOKUP(F$6,'10'!F$6:F$70,$Y42,FALSE)</f>
        <v>Ne</v>
      </c>
      <c r="G42" s="410" t="str">
        <f>HLOOKUP(G$6,'10'!G$6:G$70,$Y42,FALSE)</f>
        <v>Ne</v>
      </c>
      <c r="H42" s="410" t="str">
        <f>HLOOKUP(H$6,'10'!H$6:H$70,$Y42,FALSE)</f>
        <v>Taip</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3">
      <c r="A43" s="1" t="s">
        <v>575</v>
      </c>
      <c r="B43" s="130" t="str">
        <f>$B$9</f>
        <v>Kiekybinis tikslas iki 2029 m.</v>
      </c>
      <c r="C43" s="412">
        <f>SUM(D43:W43)</f>
        <v>7</v>
      </c>
      <c r="D43" s="439"/>
      <c r="E43" s="435"/>
      <c r="F43" s="435"/>
      <c r="G43" s="435"/>
      <c r="H43" s="435"/>
      <c r="I43" s="435">
        <v>1</v>
      </c>
      <c r="J43" s="435">
        <v>4</v>
      </c>
      <c r="K43" s="435">
        <v>2</v>
      </c>
      <c r="L43" s="435"/>
      <c r="M43" s="435"/>
      <c r="N43" s="435"/>
      <c r="O43" s="435"/>
      <c r="P43" s="435"/>
      <c r="Q43" s="435"/>
      <c r="R43" s="435"/>
      <c r="S43" s="435"/>
      <c r="T43" s="435"/>
      <c r="U43" s="435"/>
      <c r="V43" s="435"/>
      <c r="W43" s="436"/>
      <c r="Y43" s="121"/>
    </row>
    <row r="44" spans="1:25" x14ac:dyDescent="0.3">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3">
      <c r="A45" s="1" t="s">
        <v>577</v>
      </c>
      <c r="B45" s="99" t="s">
        <v>100</v>
      </c>
      <c r="C45" s="425"/>
      <c r="D45" s="422"/>
      <c r="E45" s="423"/>
      <c r="F45" s="423"/>
      <c r="G45" s="423"/>
      <c r="H45" s="423"/>
      <c r="I45" s="423"/>
      <c r="J45" s="423"/>
      <c r="K45" s="423"/>
      <c r="L45" s="423"/>
      <c r="M45" s="423"/>
      <c r="N45" s="423"/>
      <c r="O45" s="423"/>
      <c r="P45" s="423"/>
      <c r="Q45" s="423"/>
      <c r="R45" s="423"/>
      <c r="S45" s="423"/>
      <c r="T45" s="423"/>
      <c r="U45" s="423"/>
      <c r="V45" s="423"/>
      <c r="W45" s="424"/>
      <c r="Y45" s="121"/>
    </row>
    <row r="46" spans="1:25" x14ac:dyDescent="0.3">
      <c r="A46" s="1" t="s">
        <v>578</v>
      </c>
      <c r="B46" s="99" t="s">
        <v>101</v>
      </c>
      <c r="C46" s="425"/>
      <c r="D46" s="422"/>
      <c r="E46" s="423"/>
      <c r="F46" s="423"/>
      <c r="G46" s="423"/>
      <c r="H46" s="423"/>
      <c r="I46" s="423"/>
      <c r="J46" s="423"/>
      <c r="K46" s="423"/>
      <c r="L46" s="423"/>
      <c r="M46" s="423"/>
      <c r="N46" s="423"/>
      <c r="O46" s="423"/>
      <c r="P46" s="423"/>
      <c r="Q46" s="423"/>
      <c r="R46" s="423"/>
      <c r="S46" s="423"/>
      <c r="T46" s="423"/>
      <c r="U46" s="423"/>
      <c r="V46" s="423"/>
      <c r="W46" s="424"/>
      <c r="Y46" s="121"/>
    </row>
    <row r="47" spans="1:25" x14ac:dyDescent="0.3">
      <c r="A47" s="1" t="s">
        <v>579</v>
      </c>
      <c r="B47" s="99" t="s">
        <v>102</v>
      </c>
      <c r="C47" s="425">
        <v>3</v>
      </c>
      <c r="D47" s="422"/>
      <c r="E47" s="423"/>
      <c r="F47" s="423"/>
      <c r="G47" s="423"/>
      <c r="H47" s="423"/>
      <c r="I47" s="423"/>
      <c r="J47" s="423"/>
      <c r="K47" s="423"/>
      <c r="L47" s="423"/>
      <c r="M47" s="423"/>
      <c r="N47" s="423"/>
      <c r="O47" s="423"/>
      <c r="P47" s="423"/>
      <c r="Q47" s="423"/>
      <c r="R47" s="423"/>
      <c r="S47" s="423"/>
      <c r="T47" s="423"/>
      <c r="U47" s="423"/>
      <c r="V47" s="423"/>
      <c r="W47" s="424"/>
      <c r="Y47" s="121"/>
    </row>
    <row r="48" spans="1:25" x14ac:dyDescent="0.3">
      <c r="A48" s="1" t="s">
        <v>580</v>
      </c>
      <c r="B48" s="99" t="s">
        <v>103</v>
      </c>
      <c r="C48" s="425">
        <v>4</v>
      </c>
      <c r="D48" s="422"/>
      <c r="E48" s="423"/>
      <c r="F48" s="423"/>
      <c r="G48" s="423"/>
      <c r="H48" s="423"/>
      <c r="I48" s="423"/>
      <c r="J48" s="423"/>
      <c r="K48" s="423"/>
      <c r="L48" s="423"/>
      <c r="M48" s="423"/>
      <c r="N48" s="423"/>
      <c r="O48" s="423"/>
      <c r="P48" s="423"/>
      <c r="Q48" s="423"/>
      <c r="R48" s="423"/>
      <c r="S48" s="423"/>
      <c r="T48" s="423"/>
      <c r="U48" s="423"/>
      <c r="V48" s="423"/>
      <c r="W48" s="424"/>
      <c r="Y48" s="121"/>
    </row>
    <row r="49" spans="1:25" x14ac:dyDescent="0.3">
      <c r="A49" s="1" t="s">
        <v>581</v>
      </c>
      <c r="B49" s="99" t="s">
        <v>104</v>
      </c>
      <c r="C49" s="425"/>
      <c r="D49" s="422"/>
      <c r="E49" s="423"/>
      <c r="F49" s="423"/>
      <c r="G49" s="423"/>
      <c r="H49" s="423"/>
      <c r="I49" s="423"/>
      <c r="J49" s="423"/>
      <c r="K49" s="423"/>
      <c r="L49" s="423"/>
      <c r="M49" s="423"/>
      <c r="N49" s="423"/>
      <c r="O49" s="423"/>
      <c r="P49" s="423"/>
      <c r="Q49" s="423"/>
      <c r="R49" s="423"/>
      <c r="S49" s="423"/>
      <c r="T49" s="423"/>
      <c r="U49" s="423"/>
      <c r="V49" s="423"/>
      <c r="W49" s="424"/>
      <c r="Y49" s="121"/>
    </row>
    <row r="50" spans="1:25" x14ac:dyDescent="0.3">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3">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3">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3">
      <c r="A53" s="1" t="s">
        <v>585</v>
      </c>
      <c r="B53" s="128" t="s">
        <v>160</v>
      </c>
      <c r="C53" s="438">
        <f>SUM(C45:C50)</f>
        <v>7</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3">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3">
      <c r="A55" s="1" t="s">
        <v>587</v>
      </c>
      <c r="B55" s="1"/>
      <c r="Y55" s="121"/>
    </row>
    <row r="56" spans="1:25" ht="21" x14ac:dyDescent="0.3">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3">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3">
      <c r="A58" s="1" t="s">
        <v>590</v>
      </c>
      <c r="B58" s="124" t="str">
        <f>$B$8</f>
        <v>Ar rodiklis taikomas VPS priemonei?</v>
      </c>
      <c r="C58" s="131">
        <f>COUNTIFS(D58:W58,"taip")</f>
        <v>4</v>
      </c>
      <c r="D58" s="410" t="str">
        <f>HLOOKUP(D$6,'10'!D$6:D$70,$Y58,FALSE)</f>
        <v>Taip</v>
      </c>
      <c r="E58" s="410" t="str">
        <f>HLOOKUP(E$6,'10'!E$6:E$70,$Y58,FALSE)</f>
        <v>Taip</v>
      </c>
      <c r="F58" s="410" t="str">
        <f>HLOOKUP(F$6,'10'!F$6:F$70,$Y58,FALSE)</f>
        <v>Taip</v>
      </c>
      <c r="G58" s="410" t="str">
        <f>HLOOKUP(G$6,'10'!G$6:G$70,$Y58,FALSE)</f>
        <v>Taip</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3">
      <c r="A59" s="1" t="s">
        <v>591</v>
      </c>
      <c r="B59" s="130" t="str">
        <f>$B$9</f>
        <v>Kiekybinis tikslas iki 2029 m.</v>
      </c>
      <c r="C59" s="412">
        <f>SUM(D59:W59)</f>
        <v>2200</v>
      </c>
      <c r="D59" s="439">
        <v>900</v>
      </c>
      <c r="E59" s="435">
        <v>300</v>
      </c>
      <c r="F59" s="435">
        <v>500</v>
      </c>
      <c r="G59" s="435">
        <v>500</v>
      </c>
      <c r="H59" s="435"/>
      <c r="I59" s="435"/>
      <c r="J59" s="435"/>
      <c r="K59" s="435"/>
      <c r="L59" s="435"/>
      <c r="M59" s="435"/>
      <c r="N59" s="435"/>
      <c r="O59" s="435"/>
      <c r="P59" s="435"/>
      <c r="Q59" s="435"/>
      <c r="R59" s="435"/>
      <c r="S59" s="435"/>
      <c r="T59" s="435"/>
      <c r="U59" s="435"/>
      <c r="V59" s="435"/>
      <c r="W59" s="436"/>
      <c r="Y59" s="121"/>
    </row>
    <row r="60" spans="1:25" x14ac:dyDescent="0.3">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3">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3">
      <c r="A62" s="1" t="s">
        <v>594</v>
      </c>
      <c r="B62" s="99" t="s">
        <v>101</v>
      </c>
      <c r="C62" s="425">
        <v>500</v>
      </c>
      <c r="D62" s="422"/>
      <c r="E62" s="423"/>
      <c r="F62" s="423"/>
      <c r="G62" s="423"/>
      <c r="H62" s="423"/>
      <c r="I62" s="423"/>
      <c r="J62" s="423"/>
      <c r="K62" s="423"/>
      <c r="L62" s="423"/>
      <c r="M62" s="423"/>
      <c r="N62" s="423"/>
      <c r="O62" s="423"/>
      <c r="P62" s="423"/>
      <c r="Q62" s="423"/>
      <c r="R62" s="423"/>
      <c r="S62" s="423"/>
      <c r="T62" s="423"/>
      <c r="U62" s="423"/>
      <c r="V62" s="423"/>
      <c r="W62" s="424"/>
      <c r="Y62" s="121"/>
    </row>
    <row r="63" spans="1:25" x14ac:dyDescent="0.3">
      <c r="A63" s="1" t="s">
        <v>595</v>
      </c>
      <c r="B63" s="99" t="s">
        <v>102</v>
      </c>
      <c r="C63" s="425">
        <v>625</v>
      </c>
      <c r="D63" s="422"/>
      <c r="E63" s="423"/>
      <c r="F63" s="423"/>
      <c r="G63" s="423"/>
      <c r="H63" s="423"/>
      <c r="I63" s="423"/>
      <c r="J63" s="423"/>
      <c r="K63" s="423"/>
      <c r="L63" s="423"/>
      <c r="M63" s="423"/>
      <c r="N63" s="423"/>
      <c r="O63" s="423"/>
      <c r="P63" s="423"/>
      <c r="Q63" s="423"/>
      <c r="R63" s="423"/>
      <c r="S63" s="423"/>
      <c r="T63" s="423"/>
      <c r="U63" s="423"/>
      <c r="V63" s="423"/>
      <c r="W63" s="424"/>
      <c r="Y63" s="121"/>
    </row>
    <row r="64" spans="1:25" x14ac:dyDescent="0.3">
      <c r="A64" s="1" t="s">
        <v>596</v>
      </c>
      <c r="B64" s="99" t="s">
        <v>103</v>
      </c>
      <c r="C64" s="425">
        <v>425</v>
      </c>
      <c r="D64" s="422"/>
      <c r="E64" s="423"/>
      <c r="F64" s="423"/>
      <c r="G64" s="423"/>
      <c r="H64" s="423"/>
      <c r="I64" s="423"/>
      <c r="J64" s="423"/>
      <c r="K64" s="423"/>
      <c r="L64" s="423"/>
      <c r="M64" s="423"/>
      <c r="N64" s="423"/>
      <c r="O64" s="423"/>
      <c r="P64" s="423"/>
      <c r="Q64" s="423"/>
      <c r="R64" s="423"/>
      <c r="S64" s="423"/>
      <c r="T64" s="423"/>
      <c r="U64" s="423"/>
      <c r="V64" s="423"/>
      <c r="W64" s="424"/>
      <c r="Y64" s="121"/>
    </row>
    <row r="65" spans="1:25" x14ac:dyDescent="0.3">
      <c r="A65" s="1" t="s">
        <v>597</v>
      </c>
      <c r="B65" s="99" t="s">
        <v>104</v>
      </c>
      <c r="C65" s="425">
        <v>400</v>
      </c>
      <c r="D65" s="422"/>
      <c r="E65" s="423"/>
      <c r="F65" s="423"/>
      <c r="G65" s="423"/>
      <c r="H65" s="423"/>
      <c r="I65" s="423"/>
      <c r="J65" s="423"/>
      <c r="K65" s="423"/>
      <c r="L65" s="423"/>
      <c r="M65" s="423"/>
      <c r="N65" s="423"/>
      <c r="O65" s="423"/>
      <c r="P65" s="423"/>
      <c r="Q65" s="423"/>
      <c r="R65" s="423"/>
      <c r="S65" s="423"/>
      <c r="T65" s="423"/>
      <c r="U65" s="423"/>
      <c r="V65" s="423"/>
      <c r="W65" s="424"/>
      <c r="Y65" s="121"/>
    </row>
    <row r="66" spans="1:25" x14ac:dyDescent="0.3">
      <c r="A66" s="1" t="s">
        <v>598</v>
      </c>
      <c r="B66" s="99" t="s">
        <v>105</v>
      </c>
      <c r="C66" s="425">
        <v>250</v>
      </c>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3">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3">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3">
      <c r="A69" s="1" t="s">
        <v>601</v>
      </c>
      <c r="B69" s="128" t="s">
        <v>160</v>
      </c>
      <c r="C69" s="438">
        <f>SUM(C61:C66)</f>
        <v>2200</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3">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3">
      <c r="A71" s="1" t="s">
        <v>603</v>
      </c>
      <c r="B71" s="1"/>
      <c r="Y71" s="121"/>
    </row>
    <row r="72" spans="1:25" ht="21" x14ac:dyDescent="0.3">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3">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3">
      <c r="A74" s="1" t="s">
        <v>606</v>
      </c>
      <c r="B74" s="124" t="str">
        <f>$B$8</f>
        <v>Ar rodiklis taikomas VPS priemonei?</v>
      </c>
      <c r="C74" s="131">
        <f>COUNTIFS(D74:W74,"taip")</f>
        <v>4</v>
      </c>
      <c r="D74" s="410" t="str">
        <f>HLOOKUP(D$6,'10'!D$6:D$70,$Y74,FALSE)</f>
        <v>Taip</v>
      </c>
      <c r="E74" s="410" t="str">
        <f>HLOOKUP(E$6,'10'!E$6:E$70,$Y74,FALSE)</f>
        <v>Ne</v>
      </c>
      <c r="F74" s="410" t="str">
        <f>HLOOKUP(F$6,'10'!F$6:F$70,$Y74,FALSE)</f>
        <v>Taip</v>
      </c>
      <c r="G74" s="410" t="str">
        <f>HLOOKUP(G$6,'10'!G$6:G$70,$Y74,FALSE)</f>
        <v>Ne</v>
      </c>
      <c r="H74" s="410" t="str">
        <f>HLOOKUP(H$6,'10'!H$6:H$70,$Y74,FALSE)</f>
        <v>Ne</v>
      </c>
      <c r="I74" s="410" t="str">
        <f>HLOOKUP(I$6,'10'!I$6:I$70,$Y74,FALSE)</f>
        <v>Ne</v>
      </c>
      <c r="J74" s="410" t="str">
        <f>HLOOKUP(J$6,'10'!J$6:J$70,$Y74,FALSE)</f>
        <v>Ne</v>
      </c>
      <c r="K74" s="410" t="str">
        <f>HLOOKUP(K$6,'10'!K$6:K$70,$Y74,FALSE)</f>
        <v>Taip</v>
      </c>
      <c r="L74" s="410" t="str">
        <f>HLOOKUP(L$6,'10'!L$6:L$70,$Y74,FALSE)</f>
        <v>Taip</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3">
      <c r="A75" s="1" t="s">
        <v>607</v>
      </c>
      <c r="B75" s="130" t="str">
        <f>$B$9</f>
        <v>Kiekybinis tikslas iki 2029 m.</v>
      </c>
      <c r="C75" s="412">
        <f>SUM(D75:W75)</f>
        <v>175</v>
      </c>
      <c r="D75" s="439">
        <v>50</v>
      </c>
      <c r="E75" s="435"/>
      <c r="F75" s="435">
        <v>40</v>
      </c>
      <c r="G75" s="435"/>
      <c r="H75" s="435"/>
      <c r="I75" s="435"/>
      <c r="J75" s="435"/>
      <c r="K75" s="435">
        <v>80</v>
      </c>
      <c r="L75" s="435">
        <v>5</v>
      </c>
      <c r="M75" s="435"/>
      <c r="N75" s="435"/>
      <c r="O75" s="435"/>
      <c r="P75" s="435"/>
      <c r="Q75" s="435"/>
      <c r="R75" s="435"/>
      <c r="S75" s="435"/>
      <c r="T75" s="435"/>
      <c r="U75" s="435"/>
      <c r="V75" s="435"/>
      <c r="W75" s="436"/>
      <c r="Y75" s="121"/>
    </row>
    <row r="76" spans="1:25" x14ac:dyDescent="0.3">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3">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3">
      <c r="A78" s="1" t="s">
        <v>610</v>
      </c>
      <c r="B78" s="99" t="s">
        <v>101</v>
      </c>
      <c r="C78" s="425">
        <v>25</v>
      </c>
      <c r="D78" s="422"/>
      <c r="E78" s="423"/>
      <c r="F78" s="423"/>
      <c r="G78" s="423"/>
      <c r="H78" s="423"/>
      <c r="I78" s="423"/>
      <c r="J78" s="423"/>
      <c r="K78" s="423"/>
      <c r="L78" s="423"/>
      <c r="M78" s="423"/>
      <c r="N78" s="423"/>
      <c r="O78" s="423"/>
      <c r="P78" s="423"/>
      <c r="Q78" s="423"/>
      <c r="R78" s="423"/>
      <c r="S78" s="423"/>
      <c r="T78" s="423"/>
      <c r="U78" s="423"/>
      <c r="V78" s="423"/>
      <c r="W78" s="424"/>
      <c r="Y78" s="121"/>
    </row>
    <row r="79" spans="1:25" x14ac:dyDescent="0.3">
      <c r="A79" s="1" t="s">
        <v>611</v>
      </c>
      <c r="B79" s="99" t="s">
        <v>102</v>
      </c>
      <c r="C79" s="425">
        <v>60</v>
      </c>
      <c r="D79" s="422"/>
      <c r="E79" s="423"/>
      <c r="F79" s="423"/>
      <c r="G79" s="423"/>
      <c r="H79" s="423"/>
      <c r="I79" s="423"/>
      <c r="J79" s="423"/>
      <c r="K79" s="423"/>
      <c r="L79" s="423"/>
      <c r="M79" s="423"/>
      <c r="N79" s="423"/>
      <c r="O79" s="423"/>
      <c r="P79" s="423"/>
      <c r="Q79" s="423"/>
      <c r="R79" s="423"/>
      <c r="S79" s="423"/>
      <c r="T79" s="423"/>
      <c r="U79" s="423"/>
      <c r="V79" s="423"/>
      <c r="W79" s="424"/>
      <c r="Y79" s="121"/>
    </row>
    <row r="80" spans="1:25" x14ac:dyDescent="0.3">
      <c r="A80" s="1" t="s">
        <v>612</v>
      </c>
      <c r="B80" s="99" t="s">
        <v>103</v>
      </c>
      <c r="C80" s="425">
        <v>55</v>
      </c>
      <c r="D80" s="422"/>
      <c r="E80" s="423"/>
      <c r="F80" s="423"/>
      <c r="G80" s="423"/>
      <c r="H80" s="423"/>
      <c r="I80" s="423"/>
      <c r="J80" s="423"/>
      <c r="K80" s="423"/>
      <c r="L80" s="423"/>
      <c r="M80" s="423"/>
      <c r="N80" s="423"/>
      <c r="O80" s="423"/>
      <c r="P80" s="423"/>
      <c r="Q80" s="423"/>
      <c r="R80" s="423"/>
      <c r="S80" s="423"/>
      <c r="T80" s="423"/>
      <c r="U80" s="423"/>
      <c r="V80" s="423"/>
      <c r="W80" s="424"/>
      <c r="Y80" s="121"/>
    </row>
    <row r="81" spans="1:25" x14ac:dyDescent="0.3">
      <c r="A81" s="1" t="s">
        <v>613</v>
      </c>
      <c r="B81" s="99" t="s">
        <v>104</v>
      </c>
      <c r="C81" s="425">
        <v>15</v>
      </c>
      <c r="D81" s="422"/>
      <c r="E81" s="423"/>
      <c r="F81" s="423"/>
      <c r="G81" s="423"/>
      <c r="H81" s="423"/>
      <c r="I81" s="423"/>
      <c r="J81" s="423"/>
      <c r="K81" s="423"/>
      <c r="L81" s="423"/>
      <c r="M81" s="423"/>
      <c r="N81" s="423"/>
      <c r="O81" s="423"/>
      <c r="P81" s="423"/>
      <c r="Q81" s="423"/>
      <c r="R81" s="423"/>
      <c r="S81" s="423"/>
      <c r="T81" s="423"/>
      <c r="U81" s="423"/>
      <c r="V81" s="423"/>
      <c r="W81" s="424"/>
      <c r="Y81" s="121"/>
    </row>
    <row r="82" spans="1:25" x14ac:dyDescent="0.3">
      <c r="A82" s="1" t="s">
        <v>614</v>
      </c>
      <c r="B82" s="99" t="s">
        <v>105</v>
      </c>
      <c r="C82" s="425">
        <v>20</v>
      </c>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3">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3">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3">
      <c r="A85" s="1" t="s">
        <v>782</v>
      </c>
      <c r="B85" s="128" t="s">
        <v>160</v>
      </c>
      <c r="C85" s="438">
        <f>SUM(C77:C82)</f>
        <v>175</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3">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3">
      <c r="A87" s="1" t="s">
        <v>784</v>
      </c>
      <c r="B87" s="1"/>
      <c r="Y87" s="121"/>
    </row>
    <row r="88" spans="1:25" ht="21" x14ac:dyDescent="0.3">
      <c r="A88" s="1" t="s">
        <v>785</v>
      </c>
      <c r="B88" s="440" t="s">
        <v>410</v>
      </c>
      <c r="C88" s="441" t="str">
        <f>'6'!B35</f>
        <v>TRAK-P.1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3">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3">
      <c r="A90" s="1" t="s">
        <v>787</v>
      </c>
      <c r="B90" s="448" t="str">
        <f>$B$8</f>
        <v>Ar rodiklis taikomas VPS priemonei?</v>
      </c>
      <c r="C90" s="131">
        <f>COUNTIFS(D90:W90,"taip")</f>
        <v>1</v>
      </c>
      <c r="D90" s="410" t="str">
        <f>HLOOKUP(D$6,'10'!D$6:D$70,$Y90,FALSE)</f>
        <v>Taip</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3">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x14ac:dyDescent="0.3">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3">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3">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3">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3">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3">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3">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3">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3">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3">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3">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3">
      <c r="A103" s="1" t="s">
        <v>800</v>
      </c>
      <c r="B103" s="1"/>
      <c r="Y103" s="121"/>
    </row>
    <row r="104" spans="1:25" ht="21" x14ac:dyDescent="0.3">
      <c r="A104" s="1" t="s">
        <v>801</v>
      </c>
      <c r="B104" s="440" t="s">
        <v>411</v>
      </c>
      <c r="C104" s="441" t="str">
        <f>'6'!B36</f>
        <v>TRAK-P.2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3">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3">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3">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3">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3">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3">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3">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3">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3">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3">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3">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3">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3">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3">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3">
      <c r="A119" s="1" t="s">
        <v>816</v>
      </c>
      <c r="B119" s="1"/>
      <c r="Y119" s="121"/>
    </row>
    <row r="120" spans="1:25" ht="21" x14ac:dyDescent="0.3">
      <c r="A120" s="1" t="s">
        <v>817</v>
      </c>
      <c r="B120" s="440" t="s">
        <v>412</v>
      </c>
      <c r="C120" s="441" t="str">
        <f>'6'!B37</f>
        <v>TRAK-P.3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3">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3">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3">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3">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3">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3">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3">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3">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3">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3">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3">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3">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3">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3">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3">
      <c r="A135" s="1" t="s">
        <v>832</v>
      </c>
      <c r="B135" s="1"/>
      <c r="Y135" s="121"/>
    </row>
    <row r="136" spans="1:25" ht="21" x14ac:dyDescent="0.3">
      <c r="A136" s="1" t="s">
        <v>833</v>
      </c>
      <c r="B136" s="440" t="s">
        <v>413</v>
      </c>
      <c r="C136" s="441" t="str">
        <f>'6'!B38</f>
        <v>TRAK-P.4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3">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3">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3">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3">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3">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3">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3">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3">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3">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3">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3">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3">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3">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3">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3">
      <c r="A151" s="1" t="s">
        <v>848</v>
      </c>
      <c r="B151" s="1"/>
      <c r="Y151" s="121"/>
    </row>
    <row r="152" spans="1:25" ht="21" x14ac:dyDescent="0.3">
      <c r="A152" s="1" t="s">
        <v>849</v>
      </c>
      <c r="B152" s="440" t="s">
        <v>414</v>
      </c>
      <c r="C152" s="441" t="str">
        <f>'6'!B39</f>
        <v>TRAK-P.5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3">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3">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3">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3">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3">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3">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3">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3">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3">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3">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3">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3">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3">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3">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3">
      <c r="A167" s="1" t="s">
        <v>864</v>
      </c>
      <c r="B167" s="1"/>
      <c r="Y167" s="121"/>
    </row>
    <row r="168" spans="1:25" ht="21" x14ac:dyDescent="0.3">
      <c r="A168" s="1" t="s">
        <v>865</v>
      </c>
      <c r="B168" s="440" t="s">
        <v>415</v>
      </c>
      <c r="C168" s="441" t="str">
        <f>'6'!B40</f>
        <v>TRAK-P.6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3">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3">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3">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3">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3">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3">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3">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3">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3">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3">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3">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3">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3">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3">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3">
      <c r="A183" s="1" t="s">
        <v>880</v>
      </c>
      <c r="B183" s="1"/>
      <c r="Y183" s="121"/>
    </row>
    <row r="184" spans="1:25" ht="21" x14ac:dyDescent="0.3">
      <c r="A184" s="1" t="s">
        <v>881</v>
      </c>
      <c r="B184" s="440" t="s">
        <v>416</v>
      </c>
      <c r="C184" s="441" t="str">
        <f>'6'!B41</f>
        <v>TRAK-P.7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3">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3">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3">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3">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3">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3">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3">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3">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3">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3">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3">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3">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3">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3">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3">
      <c r="A199" s="1" t="s">
        <v>896</v>
      </c>
      <c r="B199" s="1"/>
      <c r="Y199" s="121"/>
    </row>
    <row r="200" spans="1:25" ht="21" x14ac:dyDescent="0.3">
      <c r="A200" s="1" t="s">
        <v>897</v>
      </c>
      <c r="B200" s="440" t="s">
        <v>417</v>
      </c>
      <c r="C200" s="441" t="str">
        <f>'6'!B42</f>
        <v>TRAK-P.8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3">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3">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3">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3">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3">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3">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3">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3">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3">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3">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3">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3">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3">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3">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3">
      <c r="A215" s="1" t="s">
        <v>912</v>
      </c>
      <c r="B215" s="1"/>
      <c r="Y215" s="121"/>
    </row>
    <row r="216" spans="1:25" ht="21" x14ac:dyDescent="0.3">
      <c r="A216" s="1" t="s">
        <v>913</v>
      </c>
      <c r="B216" s="440" t="s">
        <v>418</v>
      </c>
      <c r="C216" s="441" t="str">
        <f>'6'!B43</f>
        <v>TRAK-P.9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3">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3">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3">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3">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3">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3">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3">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3">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3">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3">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3">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3">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3">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3">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3">
      <c r="A231" s="1" t="s">
        <v>928</v>
      </c>
      <c r="B231" s="1"/>
      <c r="Y231" s="121"/>
    </row>
    <row r="232" spans="1:25" ht="21" x14ac:dyDescent="0.3">
      <c r="A232" s="1" t="s">
        <v>929</v>
      </c>
      <c r="B232" s="440" t="s">
        <v>419</v>
      </c>
      <c r="C232" s="441" t="str">
        <f>'6'!B44</f>
        <v>TRAK-P.10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3">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3">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3">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3">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3">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3">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3">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3">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3">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3">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3">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3">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3">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3">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3">
      <c r="A249" s="1"/>
      <c r="B249" s="596" t="s">
        <v>1455</v>
      </c>
    </row>
    <row r="250" spans="1:25" ht="72" x14ac:dyDescent="0.3">
      <c r="A250" s="1">
        <v>1</v>
      </c>
      <c r="B250" s="335" t="s">
        <v>1471</v>
      </c>
    </row>
    <row r="251" spans="1:25" ht="57.6" x14ac:dyDescent="0.3">
      <c r="A251" s="1">
        <v>2</v>
      </c>
      <c r="B251" s="335" t="s">
        <v>1632</v>
      </c>
    </row>
    <row r="252" spans="1:25" ht="28.8" x14ac:dyDescent="0.3">
      <c r="A252" s="1">
        <v>3</v>
      </c>
      <c r="B252" s="335" t="s">
        <v>1457</v>
      </c>
    </row>
    <row r="253" spans="1:25" ht="28.8" x14ac:dyDescent="0.3">
      <c r="A253" s="1">
        <v>4</v>
      </c>
      <c r="B253" s="335" t="s">
        <v>1459</v>
      </c>
    </row>
    <row r="254" spans="1:25" ht="72" x14ac:dyDescent="0.3">
      <c r="A254" s="1">
        <v>5</v>
      </c>
      <c r="B254" s="335" t="s">
        <v>1456</v>
      </c>
    </row>
    <row r="255" spans="1:25" ht="57.6" x14ac:dyDescent="0.3">
      <c r="A255" s="1">
        <v>6</v>
      </c>
      <c r="B255" s="335" t="s">
        <v>1460</v>
      </c>
    </row>
    <row r="256" spans="1:25" ht="172.8" x14ac:dyDescent="0.3">
      <c r="A256" s="1">
        <v>7</v>
      </c>
      <c r="B256" s="335" t="s">
        <v>1472</v>
      </c>
    </row>
    <row r="257" spans="1:25" ht="144" x14ac:dyDescent="0.3">
      <c r="A257" s="1">
        <v>8</v>
      </c>
      <c r="B257" s="335" t="s">
        <v>1463</v>
      </c>
    </row>
    <row r="258" spans="1:25" ht="57.6" x14ac:dyDescent="0.3">
      <c r="A258" s="1">
        <v>9</v>
      </c>
      <c r="B258" s="335" t="s">
        <v>1466</v>
      </c>
    </row>
    <row r="259" spans="1:25" x14ac:dyDescent="0.3">
      <c r="A259" s="1">
        <v>10</v>
      </c>
      <c r="B259" s="596" t="s">
        <v>1464</v>
      </c>
    </row>
    <row r="260" spans="1:25" ht="28.8" x14ac:dyDescent="0.3">
      <c r="A260" s="1">
        <v>11</v>
      </c>
      <c r="B260" s="335" t="s">
        <v>1469</v>
      </c>
    </row>
    <row r="261" spans="1:25" ht="28.8" x14ac:dyDescent="0.3">
      <c r="A261" s="1">
        <v>12</v>
      </c>
      <c r="B261" s="335" t="s">
        <v>1465</v>
      </c>
    </row>
    <row r="262" spans="1:25" ht="28.8" x14ac:dyDescent="0.3">
      <c r="A262" s="1">
        <v>13</v>
      </c>
      <c r="B262" s="335" t="s">
        <v>1470</v>
      </c>
    </row>
    <row r="263" spans="1:25" ht="43.2" x14ac:dyDescent="0.3">
      <c r="A263" s="1">
        <v>14</v>
      </c>
      <c r="B263" s="335" t="s">
        <v>1467</v>
      </c>
    </row>
    <row r="264" spans="1:25" ht="28.8" x14ac:dyDescent="0.3">
      <c r="A264" s="1">
        <v>15</v>
      </c>
      <c r="B264" s="335" t="s">
        <v>1468</v>
      </c>
    </row>
    <row r="265" spans="1:25" x14ac:dyDescent="0.3">
      <c r="B265" s="15"/>
      <c r="C265" s="219"/>
      <c r="W265" s="13"/>
      <c r="X265" s="18"/>
      <c r="Y265" s="13"/>
    </row>
    <row r="266" spans="1:25" x14ac:dyDescent="0.3">
      <c r="B266" s="15"/>
      <c r="C266" s="219"/>
      <c r="W266" s="13"/>
      <c r="X266" s="18"/>
      <c r="Y266" s="13"/>
    </row>
    <row r="267" spans="1:25" x14ac:dyDescent="0.3">
      <c r="B267" s="15"/>
      <c r="C267" s="219"/>
      <c r="W267" s="13"/>
      <c r="X267" s="18"/>
      <c r="Y267" s="13"/>
    </row>
    <row r="268" spans="1:25" x14ac:dyDescent="0.3">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xWindow="480" yWindow="490" count="6">
    <dataValidation type="whole" allowBlank="1" showInputMessage="1" showErrorMessage="1" prompt="Įveskite sveiką skaičių. Maksimali reikšmė - 50" sqref="D9:W9" xr:uid="{00000000-0002-0000-0B00-000000000000}">
      <formula1>0</formula1>
      <formula2>50</formula2>
    </dataValidation>
    <dataValidation type="decimal" allowBlank="1" showInputMessage="1" showErrorMessage="1" prompt="Maksimali reikšmė - 100" sqref="D25:W25" xr:uid="{00000000-0002-0000-0B00-000001000000}">
      <formula1>0</formula1>
      <formula2>100</formula2>
    </dataValidation>
    <dataValidation type="whole" allowBlank="1" showInputMessage="1" showErrorMessage="1" prompt="Maksimali reikšmė - 100 000" sqref="D59:W59 D75:W75 D91:W91 D107:W107 D123:W123 D139:W139 D155:W155 D171:W171 D187:W187 D203:W203 D219:W219 D235:W235" xr:uid="{00000000-0002-0000-0B00-000002000000}">
      <formula1>0</formula1>
      <formula2>100000</formula2>
    </dataValidation>
    <dataValidation type="whole" allowBlank="1" showInputMessage="1" showErrorMessage="1" prompt="Maksimali reikšmė - 50" sqref="D43:W43" xr:uid="{00000000-0002-0000-0B00-000003000000}">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xr:uid="{00000000-0002-0000-0B00-000004000000}">
      <formula1>0</formula1>
      <formula2>100000</formula2>
    </dataValidation>
    <dataValidation type="decimal" allowBlank="1" showInputMessage="1" showErrorMessage="1" prompt="Įveskite skaičių be tarpų. Maksimali reikšmė - 1000" sqref="Y29:Y34 C29:C30 C32:C34" xr:uid="{00000000-0002-0000-0B00-000005000000}">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xWindow="480" yWindow="490" count="1">
        <x14:dataValidation type="list" allowBlank="1" showInputMessage="1" showErrorMessage="1" xr:uid="{00000000-0002-0000-0B00-000006000000}">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21"/>
  <sheetViews>
    <sheetView topLeftCell="A38" zoomScaleNormal="100" workbookViewId="0">
      <selection activeCell="E7" sqref="E7"/>
    </sheetView>
  </sheetViews>
  <sheetFormatPr defaultColWidth="9.109375" defaultRowHeight="14.4" x14ac:dyDescent="0.3"/>
  <cols>
    <col min="1" max="1" width="8.6640625" style="114" customWidth="1"/>
    <col min="2" max="2" width="12.6640625" style="114" customWidth="1"/>
    <col min="3" max="3" width="68.6640625" style="114" customWidth="1"/>
    <col min="4" max="4" width="12.6640625" style="114" customWidth="1"/>
    <col min="5" max="5" width="50.6640625" style="383" customWidth="1"/>
    <col min="6" max="6" width="20.6640625" style="114" customWidth="1"/>
    <col min="7" max="8" width="12.6640625" style="114" customWidth="1"/>
    <col min="9" max="9" width="50.6640625" style="114" customWidth="1"/>
    <col min="10" max="10" width="12.6640625" style="114" customWidth="1"/>
    <col min="11" max="11" width="50.6640625" style="114" customWidth="1"/>
    <col min="12" max="12" width="12.6640625" style="114" customWidth="1"/>
    <col min="13" max="13" width="50.6640625" style="114" customWidth="1"/>
    <col min="14" max="16384" width="9.109375" style="114"/>
  </cols>
  <sheetData>
    <row r="1" spans="1:13" s="113" customFormat="1" ht="18" x14ac:dyDescent="0.3">
      <c r="A1" s="116" t="s">
        <v>208</v>
      </c>
      <c r="B1" s="116" t="s">
        <v>672</v>
      </c>
      <c r="C1" s="116"/>
      <c r="D1" s="116"/>
      <c r="E1" s="122"/>
      <c r="F1" s="116"/>
      <c r="G1" s="116"/>
      <c r="H1" s="116"/>
      <c r="I1" s="116"/>
      <c r="J1" s="116"/>
      <c r="K1" s="116"/>
      <c r="L1" s="116"/>
      <c r="M1" s="116"/>
    </row>
    <row r="2" spans="1:13" x14ac:dyDescent="0.3">
      <c r="A2" s="2"/>
      <c r="B2" s="2"/>
      <c r="C2" s="2"/>
      <c r="D2" s="2"/>
      <c r="E2" s="391"/>
      <c r="F2" s="2"/>
      <c r="G2" s="2"/>
      <c r="H2" s="2"/>
      <c r="I2" s="2"/>
      <c r="J2" s="2"/>
      <c r="K2" s="2"/>
      <c r="L2" s="2"/>
      <c r="M2" s="2"/>
    </row>
    <row r="3" spans="1:13" s="13" customFormat="1" x14ac:dyDescent="0.3">
      <c r="A3" s="1"/>
      <c r="B3" s="140" t="s">
        <v>1272</v>
      </c>
      <c r="C3" s="205" t="str">
        <f>'1'!C8</f>
        <v>TRAK</v>
      </c>
      <c r="D3" s="1"/>
      <c r="E3" s="41"/>
      <c r="F3" s="1"/>
      <c r="G3" s="1"/>
    </row>
    <row r="4" spans="1:13" s="1" customFormat="1" ht="15" thickBot="1" x14ac:dyDescent="0.35">
      <c r="E4" s="41"/>
    </row>
    <row r="5" spans="1:13" x14ac:dyDescent="0.3">
      <c r="A5" s="2"/>
      <c r="B5" s="396">
        <v>1</v>
      </c>
      <c r="C5" s="397">
        <v>2</v>
      </c>
      <c r="D5" s="397">
        <v>3</v>
      </c>
      <c r="E5" s="698">
        <v>4</v>
      </c>
      <c r="F5" s="392">
        <v>5</v>
      </c>
      <c r="G5" s="334">
        <v>6</v>
      </c>
    </row>
    <row r="6" spans="1:13" ht="43.2" x14ac:dyDescent="0.3">
      <c r="A6" s="2"/>
      <c r="B6" s="699" t="s">
        <v>54</v>
      </c>
      <c r="C6" s="117" t="s">
        <v>53</v>
      </c>
      <c r="D6" s="697" t="s">
        <v>456</v>
      </c>
      <c r="E6" s="700" t="s">
        <v>1365</v>
      </c>
      <c r="F6" s="392" t="s">
        <v>1104</v>
      </c>
      <c r="G6" s="334" t="s">
        <v>1450</v>
      </c>
    </row>
    <row r="7" spans="1:13" ht="28.8" x14ac:dyDescent="0.3">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3">
      <c r="A8" s="2" t="s">
        <v>616</v>
      </c>
      <c r="B8" s="701" t="s">
        <v>0</v>
      </c>
      <c r="C8" s="385" t="str">
        <f>VLOOKUP(B8,'7'!$B$7:$C$26,2,FALSE)</f>
        <v>Kraštovaizdžio išsaugojimas ir pritaikymas poilsiui, sveikatinimui, turzmui</v>
      </c>
      <c r="D8" s="385">
        <f>HLOOKUP(B8,'11'!$D$6:$W$75,4,FALSE)</f>
        <v>0</v>
      </c>
      <c r="E8" s="702"/>
      <c r="F8" s="394" t="str">
        <f>IF(AND(D8&gt;0,ISBLANK(E8)),"Trūksta pagrindimo","Gerai")</f>
        <v>Gerai</v>
      </c>
      <c r="G8" s="389">
        <f>LEN(E8)</f>
        <v>0</v>
      </c>
    </row>
    <row r="9" spans="1:13" x14ac:dyDescent="0.3">
      <c r="A9" s="2" t="s">
        <v>617</v>
      </c>
      <c r="B9" s="701" t="s">
        <v>1</v>
      </c>
      <c r="C9" s="385" t="str">
        <f>VLOOKUP(B9,'7'!$B$7:$C$26,2,FALSE)</f>
        <v>Tvarios aplinkos kūrimas, aplinkosauginio sąmoningumo didinimas</v>
      </c>
      <c r="D9" s="385">
        <f>HLOOKUP(B9,'11'!$D$6:$W$75,4,FALSE)</f>
        <v>0</v>
      </c>
      <c r="E9" s="702"/>
      <c r="F9" s="394" t="str">
        <f t="shared" ref="F9:F27" si="0">IF(AND(D9&gt;0,ISBLANK(E9)),"Trūksta pagrindimo","Gerai")</f>
        <v>Gerai</v>
      </c>
      <c r="G9" s="389">
        <f t="shared" ref="G9:G72" si="1">LEN(E9)</f>
        <v>0</v>
      </c>
    </row>
    <row r="10" spans="1:13" ht="28.8" x14ac:dyDescent="0.3">
      <c r="A10" s="2" t="s">
        <v>618</v>
      </c>
      <c r="B10" s="701" t="s">
        <v>2</v>
      </c>
      <c r="C10" s="385" t="str">
        <f>VLOOKUP(B10,'7'!$B$7:$C$26,2,FALSE)</f>
        <v>Jaunimo ir su jaunimu dirbančių organizacijų stiprinimas, jaunimo užimtumo įvairinimas</v>
      </c>
      <c r="D10" s="385">
        <f>HLOOKUP(B10,'11'!$D$6:$W$75,4,FALSE)</f>
        <v>0</v>
      </c>
      <c r="E10" s="702"/>
      <c r="F10" s="394" t="str">
        <f t="shared" si="0"/>
        <v>Gerai</v>
      </c>
      <c r="G10" s="389">
        <f t="shared" si="1"/>
        <v>0</v>
      </c>
    </row>
    <row r="11" spans="1:13" x14ac:dyDescent="0.3">
      <c r="A11" s="2" t="s">
        <v>619</v>
      </c>
      <c r="B11" s="701" t="s">
        <v>3</v>
      </c>
      <c r="C11" s="385" t="str">
        <f>VLOOKUP(B11,'7'!$B$7:$C$26,2,FALSE)</f>
        <v>Potencialių pareiškėjų ir projektų vykdytojų mokymai</v>
      </c>
      <c r="D11" s="385">
        <f>HLOOKUP(B11,'11'!$D$6:$W$75,4,FALSE)</f>
        <v>0</v>
      </c>
      <c r="E11" s="702"/>
      <c r="F11" s="394" t="str">
        <f t="shared" si="0"/>
        <v>Gerai</v>
      </c>
      <c r="G11" s="389">
        <f t="shared" si="1"/>
        <v>0</v>
      </c>
    </row>
    <row r="12" spans="1:13" ht="43.2" x14ac:dyDescent="0.3">
      <c r="A12" s="2" t="s">
        <v>620</v>
      </c>
      <c r="B12" s="701" t="s">
        <v>4</v>
      </c>
      <c r="C12" s="385" t="str">
        <f>VLOOKUP(B12,'7'!$B$7:$C$26,2,FALSE)</f>
        <v>Skaitmeninių, informacinių, komunikacinių technologijų taikymas versle</v>
      </c>
      <c r="D12" s="385">
        <f>HLOOKUP(B12,'11'!$D$6:$W$75,4,FALSE)</f>
        <v>2</v>
      </c>
      <c r="E12" s="702" t="s">
        <v>1910</v>
      </c>
      <c r="F12" s="394" t="str">
        <f t="shared" si="0"/>
        <v>Gerai</v>
      </c>
      <c r="G12" s="389">
        <f t="shared" si="1"/>
        <v>134</v>
      </c>
    </row>
    <row r="13" spans="1:13" x14ac:dyDescent="0.3">
      <c r="A13" s="2" t="s">
        <v>621</v>
      </c>
      <c r="B13" s="701" t="s">
        <v>5</v>
      </c>
      <c r="C13" s="385" t="str">
        <f>VLOOKUP(B13,'7'!$B$7:$C$26,2,FALSE)</f>
        <v>Vietos produktų /paslaugų kūrimas ir (ar) populiarinimas taikant inovacijas</v>
      </c>
      <c r="D13" s="385">
        <f>HLOOKUP(B13,'11'!$D$6:$W$75,4,FALSE)</f>
        <v>0</v>
      </c>
      <c r="E13" s="702"/>
      <c r="F13" s="394" t="str">
        <f t="shared" si="0"/>
        <v>Gerai</v>
      </c>
      <c r="G13" s="389">
        <f t="shared" si="1"/>
        <v>0</v>
      </c>
    </row>
    <row r="14" spans="1:13" x14ac:dyDescent="0.3">
      <c r="A14" s="2" t="s">
        <v>622</v>
      </c>
      <c r="B14" s="701" t="s">
        <v>6</v>
      </c>
      <c r="C14" s="385" t="str">
        <f>VLOOKUP(B14,'7'!$B$7:$C$26,2,FALSE)</f>
        <v>Paslaugų įvairinimas/kūrimas, stiprinant materialinę bazę ir (ar) kompetencijas</v>
      </c>
      <c r="D14" s="385">
        <f>HLOOKUP(B14,'11'!$D$6:$W$75,4,FALSE)</f>
        <v>0</v>
      </c>
      <c r="E14" s="702"/>
      <c r="F14" s="394" t="str">
        <f t="shared" si="0"/>
        <v>Gerai</v>
      </c>
      <c r="G14" s="389">
        <f t="shared" si="1"/>
        <v>0</v>
      </c>
    </row>
    <row r="15" spans="1:13" ht="28.8" x14ac:dyDescent="0.3">
      <c r="A15" s="2" t="s">
        <v>623</v>
      </c>
      <c r="B15" s="701" t="s">
        <v>7</v>
      </c>
      <c r="C15" s="385" t="str">
        <f>VLOOKUP(B15,'7'!$B$7:$C$26,2,FALSE)</f>
        <v xml:space="preserve">Vietos gyventojų socialinio aktyvumo bei verslumo skatinimas įtraukiant pažeidžiamas grupes </v>
      </c>
      <c r="D15" s="385">
        <f>HLOOKUP(B15,'11'!$D$6:$W$75,4,FALSE)</f>
        <v>0</v>
      </c>
      <c r="E15" s="702"/>
      <c r="F15" s="394" t="str">
        <f t="shared" si="0"/>
        <v>Gerai</v>
      </c>
      <c r="G15" s="389">
        <f t="shared" si="1"/>
        <v>0</v>
      </c>
    </row>
    <row r="16" spans="1:13" x14ac:dyDescent="0.3">
      <c r="A16" s="2" t="s">
        <v>624</v>
      </c>
      <c r="B16" s="701" t="s">
        <v>8</v>
      </c>
      <c r="C16" s="385" t="str">
        <f>VLOOKUP(B16,'7'!$B$7:$C$26,2,FALSE)</f>
        <v>Bendruomeninio verslo kūrimas skatinant savanorystę</v>
      </c>
      <c r="D16" s="385">
        <f>HLOOKUP(B16,'11'!$D$6:$W$75,4,FALSE)</f>
        <v>0</v>
      </c>
      <c r="E16" s="702"/>
      <c r="F16" s="394" t="str">
        <f t="shared" si="0"/>
        <v>Gerai</v>
      </c>
      <c r="G16" s="389">
        <f t="shared" si="1"/>
        <v>0</v>
      </c>
    </row>
    <row r="17" spans="1:7" x14ac:dyDescent="0.3">
      <c r="A17" s="2" t="s">
        <v>625</v>
      </c>
      <c r="B17" s="701" t="s">
        <v>9</v>
      </c>
      <c r="C17" s="385" t="str">
        <f>VLOOKUP(B17,'7'!$B$7:$C$26,2,FALSE)</f>
        <v>Tarptautinis, teritorinis bendradarbiavimas</v>
      </c>
      <c r="D17" s="385">
        <f>HLOOKUP(B17,'11'!$D$6:$W$75,4,FALSE)</f>
        <v>0</v>
      </c>
      <c r="E17" s="702"/>
      <c r="F17" s="394" t="str">
        <f t="shared" si="0"/>
        <v>Gerai</v>
      </c>
      <c r="G17" s="389">
        <f t="shared" si="1"/>
        <v>0</v>
      </c>
    </row>
    <row r="18" spans="1:7" x14ac:dyDescent="0.3">
      <c r="A18" s="2" t="s">
        <v>626</v>
      </c>
      <c r="B18" s="701" t="s">
        <v>43</v>
      </c>
      <c r="C18" s="385">
        <f>VLOOKUP(B18,'7'!$B$7:$C$26,2,FALSE)</f>
        <v>0</v>
      </c>
      <c r="D18" s="385">
        <f>HLOOKUP(B18,'11'!$D$6:$W$75,4,FALSE)</f>
        <v>0</v>
      </c>
      <c r="E18" s="702"/>
      <c r="F18" s="394" t="str">
        <f t="shared" si="0"/>
        <v>Gerai</v>
      </c>
      <c r="G18" s="389">
        <f t="shared" si="1"/>
        <v>0</v>
      </c>
    </row>
    <row r="19" spans="1:7" x14ac:dyDescent="0.3">
      <c r="A19" s="2" t="s">
        <v>627</v>
      </c>
      <c r="B19" s="701" t="s">
        <v>44</v>
      </c>
      <c r="C19" s="385">
        <f>VLOOKUP(B19,'7'!$B$7:$C$26,2,FALSE)</f>
        <v>0</v>
      </c>
      <c r="D19" s="385">
        <f>HLOOKUP(B19,'11'!$D$6:$W$75,4,FALSE)</f>
        <v>0</v>
      </c>
      <c r="E19" s="702"/>
      <c r="F19" s="394" t="str">
        <f t="shared" si="0"/>
        <v>Gerai</v>
      </c>
      <c r="G19" s="389">
        <f t="shared" si="1"/>
        <v>0</v>
      </c>
    </row>
    <row r="20" spans="1:7" x14ac:dyDescent="0.3">
      <c r="A20" s="2" t="s">
        <v>628</v>
      </c>
      <c r="B20" s="701" t="s">
        <v>45</v>
      </c>
      <c r="C20" s="385">
        <f>VLOOKUP(B20,'7'!$B$7:$C$26,2,FALSE)</f>
        <v>0</v>
      </c>
      <c r="D20" s="385">
        <f>HLOOKUP(B20,'11'!$D$6:$W$75,4,FALSE)</f>
        <v>0</v>
      </c>
      <c r="E20" s="702"/>
      <c r="F20" s="394" t="str">
        <f t="shared" si="0"/>
        <v>Gerai</v>
      </c>
      <c r="G20" s="389">
        <f t="shared" si="1"/>
        <v>0</v>
      </c>
    </row>
    <row r="21" spans="1:7" x14ac:dyDescent="0.3">
      <c r="A21" s="2" t="s">
        <v>629</v>
      </c>
      <c r="B21" s="701" t="s">
        <v>46</v>
      </c>
      <c r="C21" s="385">
        <f>VLOOKUP(B21,'7'!$B$7:$C$26,2,FALSE)</f>
        <v>0</v>
      </c>
      <c r="D21" s="385">
        <f>HLOOKUP(B21,'11'!$D$6:$W$75,4,FALSE)</f>
        <v>0</v>
      </c>
      <c r="E21" s="702"/>
      <c r="F21" s="394" t="str">
        <f t="shared" si="0"/>
        <v>Gerai</v>
      </c>
      <c r="G21" s="389">
        <f t="shared" si="1"/>
        <v>0</v>
      </c>
    </row>
    <row r="22" spans="1:7" x14ac:dyDescent="0.3">
      <c r="A22" s="2" t="s">
        <v>630</v>
      </c>
      <c r="B22" s="701" t="s">
        <v>47</v>
      </c>
      <c r="C22" s="385">
        <f>VLOOKUP(B22,'7'!$B$7:$C$26,2,FALSE)</f>
        <v>0</v>
      </c>
      <c r="D22" s="385">
        <f>HLOOKUP(B22,'11'!$D$6:$W$75,4,FALSE)</f>
        <v>0</v>
      </c>
      <c r="E22" s="702"/>
      <c r="F22" s="394" t="str">
        <f t="shared" si="0"/>
        <v>Gerai</v>
      </c>
      <c r="G22" s="389">
        <f t="shared" si="1"/>
        <v>0</v>
      </c>
    </row>
    <row r="23" spans="1:7" x14ac:dyDescent="0.3">
      <c r="A23" s="2" t="s">
        <v>631</v>
      </c>
      <c r="B23" s="701" t="s">
        <v>48</v>
      </c>
      <c r="C23" s="385">
        <f>VLOOKUP(B23,'7'!$B$7:$C$26,2,FALSE)</f>
        <v>0</v>
      </c>
      <c r="D23" s="385">
        <f>HLOOKUP(B23,'11'!$D$6:$W$75,4,FALSE)</f>
        <v>0</v>
      </c>
      <c r="E23" s="702"/>
      <c r="F23" s="394" t="str">
        <f t="shared" si="0"/>
        <v>Gerai</v>
      </c>
      <c r="G23" s="389">
        <f t="shared" si="1"/>
        <v>0</v>
      </c>
    </row>
    <row r="24" spans="1:7" x14ac:dyDescent="0.3">
      <c r="A24" s="2" t="s">
        <v>632</v>
      </c>
      <c r="B24" s="701" t="s">
        <v>49</v>
      </c>
      <c r="C24" s="385">
        <f>VLOOKUP(B24,'7'!$B$7:$C$26,2,FALSE)</f>
        <v>0</v>
      </c>
      <c r="D24" s="385">
        <f>HLOOKUP(B24,'11'!$D$6:$W$75,4,FALSE)</f>
        <v>0</v>
      </c>
      <c r="E24" s="702"/>
      <c r="F24" s="394" t="str">
        <f t="shared" si="0"/>
        <v>Gerai</v>
      </c>
      <c r="G24" s="389">
        <f t="shared" si="1"/>
        <v>0</v>
      </c>
    </row>
    <row r="25" spans="1:7" x14ac:dyDescent="0.3">
      <c r="A25" s="2" t="s">
        <v>633</v>
      </c>
      <c r="B25" s="701" t="s">
        <v>50</v>
      </c>
      <c r="C25" s="385">
        <f>VLOOKUP(B25,'7'!$B$7:$C$26,2,FALSE)</f>
        <v>0</v>
      </c>
      <c r="D25" s="385">
        <f>HLOOKUP(B25,'11'!$D$6:$W$75,4,FALSE)</f>
        <v>0</v>
      </c>
      <c r="E25" s="702"/>
      <c r="F25" s="394" t="str">
        <f t="shared" si="0"/>
        <v>Gerai</v>
      </c>
      <c r="G25" s="389">
        <f t="shared" si="1"/>
        <v>0</v>
      </c>
    </row>
    <row r="26" spans="1:7" x14ac:dyDescent="0.3">
      <c r="A26" s="2" t="s">
        <v>634</v>
      </c>
      <c r="B26" s="701" t="s">
        <v>51</v>
      </c>
      <c r="C26" s="385">
        <f>VLOOKUP(B26,'7'!$B$7:$C$26,2,FALSE)</f>
        <v>0</v>
      </c>
      <c r="D26" s="385">
        <f>HLOOKUP(B26,'11'!$D$6:$W$75,4,FALSE)</f>
        <v>0</v>
      </c>
      <c r="E26" s="702"/>
      <c r="F26" s="394" t="str">
        <f t="shared" si="0"/>
        <v>Gerai</v>
      </c>
      <c r="G26" s="389">
        <f t="shared" si="1"/>
        <v>0</v>
      </c>
    </row>
    <row r="27" spans="1:7" x14ac:dyDescent="0.3">
      <c r="A27" s="2" t="s">
        <v>1363</v>
      </c>
      <c r="B27" s="701" t="s">
        <v>52</v>
      </c>
      <c r="C27" s="385">
        <f>VLOOKUP(B27,'7'!$B$7:$C$26,2,FALSE)</f>
        <v>0</v>
      </c>
      <c r="D27" s="385">
        <f>HLOOKUP(B27,'11'!$D$6:$W$75,4,FALSE)</f>
        <v>0</v>
      </c>
      <c r="E27" s="702"/>
      <c r="F27" s="394" t="str">
        <f t="shared" si="0"/>
        <v>Gerai</v>
      </c>
      <c r="G27" s="389">
        <f t="shared" si="1"/>
        <v>0</v>
      </c>
    </row>
    <row r="28" spans="1:7" ht="28.8" x14ac:dyDescent="0.3">
      <c r="A28" s="2" t="s">
        <v>1364</v>
      </c>
      <c r="B28" s="398" t="s">
        <v>140</v>
      </c>
      <c r="C28" s="186" t="str">
        <f>'6'!C9</f>
        <v>Ekonomikos augimas ir darbo vietų kūrimas kaimo vietovėse. BŽŪP projektais remiamas naujų darbo vietų kūrimas</v>
      </c>
      <c r="D28" s="384"/>
      <c r="E28" s="399"/>
      <c r="F28" s="393"/>
      <c r="G28" s="388"/>
    </row>
    <row r="29" spans="1:7" x14ac:dyDescent="0.3">
      <c r="A29" s="2" t="s">
        <v>1366</v>
      </c>
      <c r="B29" s="701" t="s">
        <v>0</v>
      </c>
      <c r="C29" s="385" t="str">
        <f>VLOOKUP(B29,'7'!$B$7:$C$26,2,FALSE)</f>
        <v>Kraštovaizdžio išsaugojimas ir pritaikymas poilsiui, sveikatinimui, turzmui</v>
      </c>
      <c r="D29" s="385">
        <f>HLOOKUP(B29,'11'!$D$6:$W$75,20,FALSE)</f>
        <v>0</v>
      </c>
      <c r="E29" s="702"/>
      <c r="F29" s="394" t="str">
        <f>IF(AND(D29&gt;0,ISBLANK(E29)),"Trūksta pagrindimo","Gerai")</f>
        <v>Gerai</v>
      </c>
      <c r="G29" s="389">
        <f t="shared" si="1"/>
        <v>0</v>
      </c>
    </row>
    <row r="30" spans="1:7" x14ac:dyDescent="0.3">
      <c r="A30" s="2" t="s">
        <v>1367</v>
      </c>
      <c r="B30" s="701" t="s">
        <v>1</v>
      </c>
      <c r="C30" s="385" t="str">
        <f>VLOOKUP(B30,'7'!$B$7:$C$26,2,FALSE)</f>
        <v>Tvarios aplinkos kūrimas, aplinkosauginio sąmoningumo didinimas</v>
      </c>
      <c r="D30" s="385">
        <f>HLOOKUP(B30,'11'!$D$6:$W$75,20,FALSE)</f>
        <v>0</v>
      </c>
      <c r="E30" s="702"/>
      <c r="F30" s="394" t="str">
        <f t="shared" ref="F30:F48" si="2">IF(AND(D30&gt;0,ISBLANK(E30)),"Trūksta pagrindimo","Gerai")</f>
        <v>Gerai</v>
      </c>
      <c r="G30" s="389">
        <f t="shared" si="1"/>
        <v>0</v>
      </c>
    </row>
    <row r="31" spans="1:7" ht="28.8" x14ac:dyDescent="0.3">
      <c r="A31" s="2" t="s">
        <v>1368</v>
      </c>
      <c r="B31" s="701" t="s">
        <v>2</v>
      </c>
      <c r="C31" s="385" t="str">
        <f>VLOOKUP(B31,'7'!$B$7:$C$26,2,FALSE)</f>
        <v>Jaunimo ir su jaunimu dirbančių organizacijų stiprinimas, jaunimo užimtumo įvairinimas</v>
      </c>
      <c r="D31" s="385">
        <f>HLOOKUP(B31,'11'!$D$6:$W$75,20,FALSE)</f>
        <v>0</v>
      </c>
      <c r="E31" s="702"/>
      <c r="F31" s="394" t="str">
        <f t="shared" si="2"/>
        <v>Gerai</v>
      </c>
      <c r="G31" s="389">
        <f t="shared" si="1"/>
        <v>0</v>
      </c>
    </row>
    <row r="32" spans="1:7" x14ac:dyDescent="0.3">
      <c r="A32" s="2" t="s">
        <v>1369</v>
      </c>
      <c r="B32" s="701" t="s">
        <v>3</v>
      </c>
      <c r="C32" s="385" t="str">
        <f>VLOOKUP(B32,'7'!$B$7:$C$26,2,FALSE)</f>
        <v>Potencialių pareiškėjų ir projektų vykdytojų mokymai</v>
      </c>
      <c r="D32" s="385">
        <f>HLOOKUP(B32,'11'!$D$6:$W$75,20,FALSE)</f>
        <v>0</v>
      </c>
      <c r="E32" s="702"/>
      <c r="F32" s="394" t="str">
        <f t="shared" si="2"/>
        <v>Gerai</v>
      </c>
      <c r="G32" s="389">
        <f t="shared" si="1"/>
        <v>0</v>
      </c>
    </row>
    <row r="33" spans="1:7" x14ac:dyDescent="0.3">
      <c r="A33" s="2" t="s">
        <v>1370</v>
      </c>
      <c r="B33" s="701" t="s">
        <v>4</v>
      </c>
      <c r="C33" s="385" t="str">
        <f>VLOOKUP(B33,'7'!$B$7:$C$26,2,FALSE)</f>
        <v>Skaitmeninių, informacinių, komunikacinių technologijų taikymas versle</v>
      </c>
      <c r="D33" s="385">
        <f>HLOOKUP(B33,'11'!$D$6:$W$75,20,FALSE)</f>
        <v>2</v>
      </c>
      <c r="E33" s="702" t="s">
        <v>1894</v>
      </c>
      <c r="F33" s="394" t="str">
        <f t="shared" si="2"/>
        <v>Gerai</v>
      </c>
      <c r="G33" s="389">
        <f t="shared" si="1"/>
        <v>47</v>
      </c>
    </row>
    <row r="34" spans="1:7" ht="28.8" x14ac:dyDescent="0.3">
      <c r="A34" s="2" t="s">
        <v>1371</v>
      </c>
      <c r="B34" s="701" t="s">
        <v>5</v>
      </c>
      <c r="C34" s="385" t="str">
        <f>VLOOKUP(B34,'7'!$B$7:$C$26,2,FALSE)</f>
        <v>Vietos produktų /paslaugų kūrimas ir (ar) populiarinimas taikant inovacijas</v>
      </c>
      <c r="D34" s="385">
        <f>HLOOKUP(B34,'11'!$D$6:$W$75,20,FALSE)</f>
        <v>1</v>
      </c>
      <c r="E34" s="702" t="s">
        <v>1895</v>
      </c>
      <c r="F34" s="394" t="str">
        <f t="shared" si="2"/>
        <v>Gerai</v>
      </c>
      <c r="G34" s="389">
        <f t="shared" si="1"/>
        <v>69</v>
      </c>
    </row>
    <row r="35" spans="1:7" x14ac:dyDescent="0.3">
      <c r="A35" s="2" t="s">
        <v>1372</v>
      </c>
      <c r="B35" s="701" t="s">
        <v>6</v>
      </c>
      <c r="C35" s="385" t="str">
        <f>VLOOKUP(B35,'7'!$B$7:$C$26,2,FALSE)</f>
        <v>Paslaugų įvairinimas/kūrimas, stiprinant materialinę bazę ir (ar) kompetencijas</v>
      </c>
      <c r="D35" s="385">
        <f>HLOOKUP(B35,'11'!$D$6:$W$75,20,FALSE)</f>
        <v>4</v>
      </c>
      <c r="E35" s="702" t="s">
        <v>1896</v>
      </c>
      <c r="F35" s="394" t="str">
        <f t="shared" si="2"/>
        <v>Gerai</v>
      </c>
      <c r="G35" s="389">
        <f t="shared" si="1"/>
        <v>53</v>
      </c>
    </row>
    <row r="36" spans="1:7" ht="28.8" x14ac:dyDescent="0.3">
      <c r="A36" s="2" t="s">
        <v>1373</v>
      </c>
      <c r="B36" s="701" t="s">
        <v>7</v>
      </c>
      <c r="C36" s="385" t="str">
        <f>VLOOKUP(B36,'7'!$B$7:$C$26,2,FALSE)</f>
        <v xml:space="preserve">Vietos gyventojų socialinio aktyvumo bei verslumo skatinimas įtraukiant pažeidžiamas grupes </v>
      </c>
      <c r="D36" s="385">
        <f>HLOOKUP(B36,'11'!$D$6:$W$75,20,FALSE)</f>
        <v>2</v>
      </c>
      <c r="E36" s="702" t="s">
        <v>1897</v>
      </c>
      <c r="F36" s="394" t="str">
        <f t="shared" si="2"/>
        <v>Gerai</v>
      </c>
      <c r="G36" s="389">
        <f t="shared" si="1"/>
        <v>106</v>
      </c>
    </row>
    <row r="37" spans="1:7" ht="28.8" x14ac:dyDescent="0.3">
      <c r="A37" s="2" t="s">
        <v>1374</v>
      </c>
      <c r="B37" s="701" t="s">
        <v>8</v>
      </c>
      <c r="C37" s="385" t="str">
        <f>VLOOKUP(B37,'7'!$B$7:$C$26,2,FALSE)</f>
        <v>Bendruomeninio verslo kūrimas skatinant savanorystę</v>
      </c>
      <c r="D37" s="385">
        <f>HLOOKUP(B37,'11'!$D$6:$W$75,20,FALSE)</f>
        <v>0.5</v>
      </c>
      <c r="E37" s="702" t="s">
        <v>1898</v>
      </c>
      <c r="F37" s="394" t="str">
        <f t="shared" si="2"/>
        <v>Gerai</v>
      </c>
      <c r="G37" s="389">
        <f t="shared" si="1"/>
        <v>92</v>
      </c>
    </row>
    <row r="38" spans="1:7" x14ac:dyDescent="0.3">
      <c r="A38" s="2" t="s">
        <v>1375</v>
      </c>
      <c r="B38" s="701" t="s">
        <v>9</v>
      </c>
      <c r="C38" s="385" t="str">
        <f>VLOOKUP(B38,'7'!$B$7:$C$26,2,FALSE)</f>
        <v>Tarptautinis, teritorinis bendradarbiavimas</v>
      </c>
      <c r="D38" s="385">
        <f>HLOOKUP(B38,'11'!$D$6:$W$75,20,FALSE)</f>
        <v>0</v>
      </c>
      <c r="E38" s="702"/>
      <c r="F38" s="394" t="str">
        <f t="shared" si="2"/>
        <v>Gerai</v>
      </c>
      <c r="G38" s="389">
        <f t="shared" si="1"/>
        <v>0</v>
      </c>
    </row>
    <row r="39" spans="1:7" x14ac:dyDescent="0.3">
      <c r="A39" s="2" t="s">
        <v>1376</v>
      </c>
      <c r="B39" s="701" t="s">
        <v>43</v>
      </c>
      <c r="C39" s="385">
        <f>VLOOKUP(B39,'7'!$B$7:$C$26,2,FALSE)</f>
        <v>0</v>
      </c>
      <c r="D39" s="385">
        <f>HLOOKUP(B39,'11'!$D$6:$W$75,20,FALSE)</f>
        <v>0</v>
      </c>
      <c r="E39" s="702"/>
      <c r="F39" s="394" t="str">
        <f t="shared" si="2"/>
        <v>Gerai</v>
      </c>
      <c r="G39" s="389">
        <f t="shared" si="1"/>
        <v>0</v>
      </c>
    </row>
    <row r="40" spans="1:7" x14ac:dyDescent="0.3">
      <c r="A40" s="2" t="s">
        <v>1377</v>
      </c>
      <c r="B40" s="701" t="s">
        <v>44</v>
      </c>
      <c r="C40" s="385">
        <f>VLOOKUP(B40,'7'!$B$7:$C$26,2,FALSE)</f>
        <v>0</v>
      </c>
      <c r="D40" s="385">
        <f>HLOOKUP(B40,'11'!$D$6:$W$75,20,FALSE)</f>
        <v>0</v>
      </c>
      <c r="E40" s="702"/>
      <c r="F40" s="394" t="str">
        <f t="shared" si="2"/>
        <v>Gerai</v>
      </c>
      <c r="G40" s="389">
        <f t="shared" si="1"/>
        <v>0</v>
      </c>
    </row>
    <row r="41" spans="1:7" x14ac:dyDescent="0.3">
      <c r="A41" s="2" t="s">
        <v>1378</v>
      </c>
      <c r="B41" s="701" t="s">
        <v>45</v>
      </c>
      <c r="C41" s="385">
        <f>VLOOKUP(B41,'7'!$B$7:$C$26,2,FALSE)</f>
        <v>0</v>
      </c>
      <c r="D41" s="385">
        <f>HLOOKUP(B41,'11'!$D$6:$W$75,20,FALSE)</f>
        <v>0</v>
      </c>
      <c r="E41" s="702"/>
      <c r="F41" s="394" t="str">
        <f t="shared" si="2"/>
        <v>Gerai</v>
      </c>
      <c r="G41" s="389">
        <f t="shared" si="1"/>
        <v>0</v>
      </c>
    </row>
    <row r="42" spans="1:7" x14ac:dyDescent="0.3">
      <c r="A42" s="2" t="s">
        <v>1379</v>
      </c>
      <c r="B42" s="701" t="s">
        <v>46</v>
      </c>
      <c r="C42" s="385">
        <f>VLOOKUP(B42,'7'!$B$7:$C$26,2,FALSE)</f>
        <v>0</v>
      </c>
      <c r="D42" s="385">
        <f>HLOOKUP(B42,'11'!$D$6:$W$75,20,FALSE)</f>
        <v>0</v>
      </c>
      <c r="E42" s="702"/>
      <c r="F42" s="394" t="str">
        <f t="shared" si="2"/>
        <v>Gerai</v>
      </c>
      <c r="G42" s="389">
        <f t="shared" si="1"/>
        <v>0</v>
      </c>
    </row>
    <row r="43" spans="1:7" x14ac:dyDescent="0.3">
      <c r="A43" s="2" t="s">
        <v>1380</v>
      </c>
      <c r="B43" s="701" t="s">
        <v>47</v>
      </c>
      <c r="C43" s="385">
        <f>VLOOKUP(B43,'7'!$B$7:$C$26,2,FALSE)</f>
        <v>0</v>
      </c>
      <c r="D43" s="385">
        <f>HLOOKUP(B43,'11'!$D$6:$W$75,20,FALSE)</f>
        <v>0</v>
      </c>
      <c r="E43" s="702"/>
      <c r="F43" s="394" t="str">
        <f t="shared" si="2"/>
        <v>Gerai</v>
      </c>
      <c r="G43" s="389">
        <f t="shared" si="1"/>
        <v>0</v>
      </c>
    </row>
    <row r="44" spans="1:7" x14ac:dyDescent="0.3">
      <c r="A44" s="2" t="s">
        <v>1381</v>
      </c>
      <c r="B44" s="701" t="s">
        <v>48</v>
      </c>
      <c r="C44" s="385">
        <f>VLOOKUP(B44,'7'!$B$7:$C$26,2,FALSE)</f>
        <v>0</v>
      </c>
      <c r="D44" s="385">
        <f>HLOOKUP(B44,'11'!$D$6:$W$75,20,FALSE)</f>
        <v>0</v>
      </c>
      <c r="E44" s="702"/>
      <c r="F44" s="394" t="str">
        <f t="shared" si="2"/>
        <v>Gerai</v>
      </c>
      <c r="G44" s="389">
        <f t="shared" si="1"/>
        <v>0</v>
      </c>
    </row>
    <row r="45" spans="1:7" x14ac:dyDescent="0.3">
      <c r="A45" s="2" t="s">
        <v>1382</v>
      </c>
      <c r="B45" s="701" t="s">
        <v>49</v>
      </c>
      <c r="C45" s="385">
        <f>VLOOKUP(B45,'7'!$B$7:$C$26,2,FALSE)</f>
        <v>0</v>
      </c>
      <c r="D45" s="385">
        <f>HLOOKUP(B45,'11'!$D$6:$W$75,20,FALSE)</f>
        <v>0</v>
      </c>
      <c r="E45" s="702"/>
      <c r="F45" s="394" t="str">
        <f t="shared" si="2"/>
        <v>Gerai</v>
      </c>
      <c r="G45" s="389">
        <f t="shared" si="1"/>
        <v>0</v>
      </c>
    </row>
    <row r="46" spans="1:7" x14ac:dyDescent="0.3">
      <c r="A46" s="2" t="s">
        <v>1383</v>
      </c>
      <c r="B46" s="701" t="s">
        <v>50</v>
      </c>
      <c r="C46" s="385">
        <f>VLOOKUP(B46,'7'!$B$7:$C$26,2,FALSE)</f>
        <v>0</v>
      </c>
      <c r="D46" s="385">
        <f>HLOOKUP(B46,'11'!$D$6:$W$75,20,FALSE)</f>
        <v>0</v>
      </c>
      <c r="E46" s="702"/>
      <c r="F46" s="394" t="str">
        <f t="shared" si="2"/>
        <v>Gerai</v>
      </c>
      <c r="G46" s="389">
        <f t="shared" si="1"/>
        <v>0</v>
      </c>
    </row>
    <row r="47" spans="1:7" x14ac:dyDescent="0.3">
      <c r="A47" s="2" t="s">
        <v>1384</v>
      </c>
      <c r="B47" s="701" t="s">
        <v>51</v>
      </c>
      <c r="C47" s="385">
        <f>VLOOKUP(B47,'7'!$B$7:$C$26,2,FALSE)</f>
        <v>0</v>
      </c>
      <c r="D47" s="385">
        <f>HLOOKUP(B47,'11'!$D$6:$W$75,20,FALSE)</f>
        <v>0</v>
      </c>
      <c r="E47" s="702"/>
      <c r="F47" s="394" t="str">
        <f t="shared" si="2"/>
        <v>Gerai</v>
      </c>
      <c r="G47" s="389">
        <f t="shared" si="1"/>
        <v>0</v>
      </c>
    </row>
    <row r="48" spans="1:7" x14ac:dyDescent="0.3">
      <c r="A48" s="2" t="s">
        <v>1385</v>
      </c>
      <c r="B48" s="701" t="s">
        <v>52</v>
      </c>
      <c r="C48" s="385">
        <f>VLOOKUP(B48,'7'!$B$7:$C$26,2,FALSE)</f>
        <v>0</v>
      </c>
      <c r="D48" s="385">
        <f>HLOOKUP(B48,'11'!$D$6:$W$75,20,FALSE)</f>
        <v>0</v>
      </c>
      <c r="E48" s="702"/>
      <c r="F48" s="394" t="str">
        <f t="shared" si="2"/>
        <v>Gerai</v>
      </c>
      <c r="G48" s="389">
        <f t="shared" si="1"/>
        <v>0</v>
      </c>
    </row>
    <row r="49" spans="1:7" ht="28.8" x14ac:dyDescent="0.3">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x14ac:dyDescent="0.3">
      <c r="A50" s="2" t="s">
        <v>1387</v>
      </c>
      <c r="B50" s="701" t="s">
        <v>0</v>
      </c>
      <c r="C50" s="385" t="str">
        <f>VLOOKUP(B50,'7'!$B$7:$C$26,2,FALSE)</f>
        <v>Kraštovaizdžio išsaugojimas ir pritaikymas poilsiui, sveikatinimui, turzmui</v>
      </c>
      <c r="D50" s="385">
        <f>HLOOKUP(B50,'11'!$D$6:$W$75,38,FALSE)</f>
        <v>0</v>
      </c>
      <c r="E50" s="702"/>
      <c r="F50" s="394" t="str">
        <f>IF(AND(D50&gt;0,ISBLANK(E50)),"Trūksta pagrindimo","Gerai")</f>
        <v>Gerai</v>
      </c>
      <c r="G50" s="389">
        <f t="shared" si="1"/>
        <v>0</v>
      </c>
    </row>
    <row r="51" spans="1:7" x14ac:dyDescent="0.3">
      <c r="A51" s="2" t="s">
        <v>1388</v>
      </c>
      <c r="B51" s="701" t="s">
        <v>1</v>
      </c>
      <c r="C51" s="385" t="str">
        <f>VLOOKUP(B51,'7'!$B$7:$C$26,2,FALSE)</f>
        <v>Tvarios aplinkos kūrimas, aplinkosauginio sąmoningumo didinimas</v>
      </c>
      <c r="D51" s="385">
        <f>HLOOKUP(B51,'11'!$D$6:$W$75,38,FALSE)</f>
        <v>0</v>
      </c>
      <c r="E51" s="702"/>
      <c r="F51" s="394" t="str">
        <f t="shared" ref="F51:F69" si="3">IF(AND(D51&gt;0,ISBLANK(E51)),"Trūksta pagrindimo","Gerai")</f>
        <v>Gerai</v>
      </c>
      <c r="G51" s="389">
        <f t="shared" si="1"/>
        <v>0</v>
      </c>
    </row>
    <row r="52" spans="1:7" ht="28.8" x14ac:dyDescent="0.3">
      <c r="A52" s="2" t="s">
        <v>1389</v>
      </c>
      <c r="B52" s="701" t="s">
        <v>2</v>
      </c>
      <c r="C52" s="385" t="str">
        <f>VLOOKUP(B52,'7'!$B$7:$C$26,2,FALSE)</f>
        <v>Jaunimo ir su jaunimu dirbančių organizacijų stiprinimas, jaunimo užimtumo įvairinimas</v>
      </c>
      <c r="D52" s="385">
        <f>HLOOKUP(B52,'11'!$D$6:$W$75,38,FALSE)</f>
        <v>0</v>
      </c>
      <c r="E52" s="702"/>
      <c r="F52" s="394" t="str">
        <f t="shared" si="3"/>
        <v>Gerai</v>
      </c>
      <c r="G52" s="389">
        <f t="shared" si="1"/>
        <v>0</v>
      </c>
    </row>
    <row r="53" spans="1:7" x14ac:dyDescent="0.3">
      <c r="A53" s="2" t="s">
        <v>1390</v>
      </c>
      <c r="B53" s="701" t="s">
        <v>3</v>
      </c>
      <c r="C53" s="385" t="str">
        <f>VLOOKUP(B53,'7'!$B$7:$C$26,2,FALSE)</f>
        <v>Potencialių pareiškėjų ir projektų vykdytojų mokymai</v>
      </c>
      <c r="D53" s="385">
        <f>HLOOKUP(B53,'11'!$D$6:$W$75,38,FALSE)</f>
        <v>0</v>
      </c>
      <c r="E53" s="702"/>
      <c r="F53" s="394" t="str">
        <f t="shared" si="3"/>
        <v>Gerai</v>
      </c>
      <c r="G53" s="389">
        <f t="shared" si="1"/>
        <v>0</v>
      </c>
    </row>
    <row r="54" spans="1:7" x14ac:dyDescent="0.3">
      <c r="A54" s="2" t="s">
        <v>1391</v>
      </c>
      <c r="B54" s="701" t="s">
        <v>4</v>
      </c>
      <c r="C54" s="385" t="str">
        <f>VLOOKUP(B54,'7'!$B$7:$C$26,2,FALSE)</f>
        <v>Skaitmeninių, informacinių, komunikacinių technologijų taikymas versle</v>
      </c>
      <c r="D54" s="385">
        <f>HLOOKUP(B54,'11'!$D$6:$W$75,38,FALSE)</f>
        <v>0</v>
      </c>
      <c r="E54" s="702"/>
      <c r="F54" s="394" t="str">
        <f t="shared" si="3"/>
        <v>Gerai</v>
      </c>
      <c r="G54" s="389">
        <f t="shared" si="1"/>
        <v>0</v>
      </c>
    </row>
    <row r="55" spans="1:7" ht="28.8" x14ac:dyDescent="0.3">
      <c r="A55" s="2" t="s">
        <v>1392</v>
      </c>
      <c r="B55" s="701" t="s">
        <v>5</v>
      </c>
      <c r="C55" s="385" t="str">
        <f>VLOOKUP(B55,'7'!$B$7:$C$26,2,FALSE)</f>
        <v>Vietos produktų /paslaugų kūrimas ir (ar) populiarinimas taikant inovacijas</v>
      </c>
      <c r="D55" s="385">
        <f>HLOOKUP(B55,'11'!$D$6:$W$75,38,FALSE)</f>
        <v>1</v>
      </c>
      <c r="E55" s="702" t="s">
        <v>1899</v>
      </c>
      <c r="F55" s="394" t="str">
        <f t="shared" si="3"/>
        <v>Gerai</v>
      </c>
      <c r="G55" s="389">
        <f t="shared" si="1"/>
        <v>105</v>
      </c>
    </row>
    <row r="56" spans="1:7" ht="57.6" x14ac:dyDescent="0.3">
      <c r="A56" s="2" t="s">
        <v>1393</v>
      </c>
      <c r="B56" s="701" t="s">
        <v>6</v>
      </c>
      <c r="C56" s="385" t="str">
        <f>VLOOKUP(B56,'7'!$B$7:$C$26,2,FALSE)</f>
        <v>Paslaugų įvairinimas/kūrimas, stiprinant materialinę bazę ir (ar) kompetencijas</v>
      </c>
      <c r="D56" s="385">
        <f>HLOOKUP(B56,'11'!$D$6:$W$75,38,FALSE)</f>
        <v>4</v>
      </c>
      <c r="E56" s="702" t="s">
        <v>1900</v>
      </c>
      <c r="F56" s="394" t="str">
        <f t="shared" si="3"/>
        <v>Gerai</v>
      </c>
      <c r="G56" s="389">
        <f t="shared" si="1"/>
        <v>182</v>
      </c>
    </row>
    <row r="57" spans="1:7" ht="28.8" x14ac:dyDescent="0.3">
      <c r="A57" s="2" t="s">
        <v>1394</v>
      </c>
      <c r="B57" s="701" t="s">
        <v>7</v>
      </c>
      <c r="C57" s="385" t="str">
        <f>VLOOKUP(B57,'7'!$B$7:$C$26,2,FALSE)</f>
        <v xml:space="preserve">Vietos gyventojų socialinio aktyvumo bei verslumo skatinimas įtraukiant pažeidžiamas grupes </v>
      </c>
      <c r="D57" s="385">
        <f>HLOOKUP(B57,'11'!$D$6:$W$75,38,FALSE)</f>
        <v>2</v>
      </c>
      <c r="E57" s="702" t="s">
        <v>1901</v>
      </c>
      <c r="F57" s="394" t="str">
        <f t="shared" si="3"/>
        <v>Gerai</v>
      </c>
      <c r="G57" s="389">
        <f t="shared" si="1"/>
        <v>69</v>
      </c>
    </row>
    <row r="58" spans="1:7" x14ac:dyDescent="0.3">
      <c r="A58" s="2" t="s">
        <v>1395</v>
      </c>
      <c r="B58" s="701" t="s">
        <v>8</v>
      </c>
      <c r="C58" s="385" t="str">
        <f>VLOOKUP(B58,'7'!$B$7:$C$26,2,FALSE)</f>
        <v>Bendruomeninio verslo kūrimas skatinant savanorystę</v>
      </c>
      <c r="D58" s="385">
        <f>HLOOKUP(B58,'11'!$D$6:$W$75,38,FALSE)</f>
        <v>0</v>
      </c>
      <c r="E58" s="702"/>
      <c r="F58" s="394" t="str">
        <f t="shared" si="3"/>
        <v>Gerai</v>
      </c>
      <c r="G58" s="389">
        <f t="shared" si="1"/>
        <v>0</v>
      </c>
    </row>
    <row r="59" spans="1:7" x14ac:dyDescent="0.3">
      <c r="A59" s="2" t="s">
        <v>1396</v>
      </c>
      <c r="B59" s="701" t="s">
        <v>9</v>
      </c>
      <c r="C59" s="385" t="str">
        <f>VLOOKUP(B59,'7'!$B$7:$C$26,2,FALSE)</f>
        <v>Tarptautinis, teritorinis bendradarbiavimas</v>
      </c>
      <c r="D59" s="385">
        <f>HLOOKUP(B59,'11'!$D$6:$W$75,38,FALSE)</f>
        <v>0</v>
      </c>
      <c r="E59" s="702"/>
      <c r="F59" s="394" t="str">
        <f t="shared" si="3"/>
        <v>Gerai</v>
      </c>
      <c r="G59" s="389">
        <f t="shared" si="1"/>
        <v>0</v>
      </c>
    </row>
    <row r="60" spans="1:7" x14ac:dyDescent="0.3">
      <c r="A60" s="2" t="s">
        <v>1397</v>
      </c>
      <c r="B60" s="701" t="s">
        <v>43</v>
      </c>
      <c r="C60" s="385">
        <f>VLOOKUP(B60,'7'!$B$7:$C$26,2,FALSE)</f>
        <v>0</v>
      </c>
      <c r="D60" s="385">
        <f>HLOOKUP(B60,'11'!$D$6:$W$75,38,FALSE)</f>
        <v>0</v>
      </c>
      <c r="E60" s="702"/>
      <c r="F60" s="394" t="str">
        <f t="shared" si="3"/>
        <v>Gerai</v>
      </c>
      <c r="G60" s="389">
        <f t="shared" si="1"/>
        <v>0</v>
      </c>
    </row>
    <row r="61" spans="1:7" x14ac:dyDescent="0.3">
      <c r="A61" s="2" t="s">
        <v>1398</v>
      </c>
      <c r="B61" s="701" t="s">
        <v>44</v>
      </c>
      <c r="C61" s="385">
        <f>VLOOKUP(B61,'7'!$B$7:$C$26,2,FALSE)</f>
        <v>0</v>
      </c>
      <c r="D61" s="385">
        <f>HLOOKUP(B61,'11'!$D$6:$W$75,38,FALSE)</f>
        <v>0</v>
      </c>
      <c r="E61" s="702"/>
      <c r="F61" s="394" t="str">
        <f t="shared" si="3"/>
        <v>Gerai</v>
      </c>
      <c r="G61" s="389">
        <f t="shared" si="1"/>
        <v>0</v>
      </c>
    </row>
    <row r="62" spans="1:7" x14ac:dyDescent="0.3">
      <c r="A62" s="2" t="s">
        <v>1399</v>
      </c>
      <c r="B62" s="701" t="s">
        <v>45</v>
      </c>
      <c r="C62" s="385">
        <f>VLOOKUP(B62,'7'!$B$7:$C$26,2,FALSE)</f>
        <v>0</v>
      </c>
      <c r="D62" s="385">
        <f>HLOOKUP(B62,'11'!$D$6:$W$75,38,FALSE)</f>
        <v>0</v>
      </c>
      <c r="E62" s="702"/>
      <c r="F62" s="394" t="str">
        <f t="shared" si="3"/>
        <v>Gerai</v>
      </c>
      <c r="G62" s="389">
        <f t="shared" si="1"/>
        <v>0</v>
      </c>
    </row>
    <row r="63" spans="1:7" x14ac:dyDescent="0.3">
      <c r="A63" s="2" t="s">
        <v>1400</v>
      </c>
      <c r="B63" s="701" t="s">
        <v>46</v>
      </c>
      <c r="C63" s="385">
        <f>VLOOKUP(B63,'7'!$B$7:$C$26,2,FALSE)</f>
        <v>0</v>
      </c>
      <c r="D63" s="385">
        <f>HLOOKUP(B63,'11'!$D$6:$W$75,38,FALSE)</f>
        <v>0</v>
      </c>
      <c r="E63" s="702"/>
      <c r="F63" s="394" t="str">
        <f t="shared" si="3"/>
        <v>Gerai</v>
      </c>
      <c r="G63" s="389">
        <f t="shared" si="1"/>
        <v>0</v>
      </c>
    </row>
    <row r="64" spans="1:7" x14ac:dyDescent="0.3">
      <c r="A64" s="2" t="s">
        <v>1401</v>
      </c>
      <c r="B64" s="701" t="s">
        <v>47</v>
      </c>
      <c r="C64" s="385">
        <f>VLOOKUP(B64,'7'!$B$7:$C$26,2,FALSE)</f>
        <v>0</v>
      </c>
      <c r="D64" s="385">
        <f>HLOOKUP(B64,'11'!$D$6:$W$75,38,FALSE)</f>
        <v>0</v>
      </c>
      <c r="E64" s="702"/>
      <c r="F64" s="394" t="str">
        <f t="shared" si="3"/>
        <v>Gerai</v>
      </c>
      <c r="G64" s="389">
        <f t="shared" si="1"/>
        <v>0</v>
      </c>
    </row>
    <row r="65" spans="1:7" x14ac:dyDescent="0.3">
      <c r="A65" s="2" t="s">
        <v>1402</v>
      </c>
      <c r="B65" s="701" t="s">
        <v>48</v>
      </c>
      <c r="C65" s="385">
        <f>VLOOKUP(B65,'7'!$B$7:$C$26,2,FALSE)</f>
        <v>0</v>
      </c>
      <c r="D65" s="385">
        <f>HLOOKUP(B65,'11'!$D$6:$W$75,38,FALSE)</f>
        <v>0</v>
      </c>
      <c r="E65" s="702"/>
      <c r="F65" s="394" t="str">
        <f t="shared" si="3"/>
        <v>Gerai</v>
      </c>
      <c r="G65" s="389">
        <f t="shared" si="1"/>
        <v>0</v>
      </c>
    </row>
    <row r="66" spans="1:7" x14ac:dyDescent="0.3">
      <c r="A66" s="2" t="s">
        <v>1403</v>
      </c>
      <c r="B66" s="701" t="s">
        <v>49</v>
      </c>
      <c r="C66" s="385">
        <f>VLOOKUP(B66,'7'!$B$7:$C$26,2,FALSE)</f>
        <v>0</v>
      </c>
      <c r="D66" s="385">
        <f>HLOOKUP(B66,'11'!$D$6:$W$75,38,FALSE)</f>
        <v>0</v>
      </c>
      <c r="E66" s="702"/>
      <c r="F66" s="394" t="str">
        <f t="shared" si="3"/>
        <v>Gerai</v>
      </c>
      <c r="G66" s="389">
        <f t="shared" si="1"/>
        <v>0</v>
      </c>
    </row>
    <row r="67" spans="1:7" x14ac:dyDescent="0.3">
      <c r="A67" s="2" t="s">
        <v>1404</v>
      </c>
      <c r="B67" s="701" t="s">
        <v>50</v>
      </c>
      <c r="C67" s="385">
        <f>VLOOKUP(B67,'7'!$B$7:$C$26,2,FALSE)</f>
        <v>0</v>
      </c>
      <c r="D67" s="385">
        <f>HLOOKUP(B67,'11'!$D$6:$W$75,38,FALSE)</f>
        <v>0</v>
      </c>
      <c r="E67" s="702"/>
      <c r="F67" s="394" t="str">
        <f t="shared" si="3"/>
        <v>Gerai</v>
      </c>
      <c r="G67" s="389">
        <f t="shared" si="1"/>
        <v>0</v>
      </c>
    </row>
    <row r="68" spans="1:7" x14ac:dyDescent="0.3">
      <c r="A68" s="2" t="s">
        <v>1405</v>
      </c>
      <c r="B68" s="701" t="s">
        <v>51</v>
      </c>
      <c r="C68" s="385">
        <f>VLOOKUP(B68,'7'!$B$7:$C$26,2,FALSE)</f>
        <v>0</v>
      </c>
      <c r="D68" s="385">
        <f>HLOOKUP(B68,'11'!$D$6:$W$75,38,FALSE)</f>
        <v>0</v>
      </c>
      <c r="E68" s="702"/>
      <c r="F68" s="394" t="str">
        <f t="shared" si="3"/>
        <v>Gerai</v>
      </c>
      <c r="G68" s="389">
        <f t="shared" si="1"/>
        <v>0</v>
      </c>
    </row>
    <row r="69" spans="1:7" x14ac:dyDescent="0.3">
      <c r="A69" s="2" t="s">
        <v>1406</v>
      </c>
      <c r="B69" s="701" t="s">
        <v>52</v>
      </c>
      <c r="C69" s="385">
        <f>VLOOKUP(B69,'7'!$B$7:$C$26,2,FALSE)</f>
        <v>0</v>
      </c>
      <c r="D69" s="385">
        <f>HLOOKUP(B69,'11'!$D$6:$W$75,38,FALSE)</f>
        <v>0</v>
      </c>
      <c r="E69" s="702"/>
      <c r="F69" s="394" t="str">
        <f t="shared" si="3"/>
        <v>Gerai</v>
      </c>
      <c r="G69" s="389">
        <f t="shared" si="1"/>
        <v>0</v>
      </c>
    </row>
    <row r="70" spans="1:7" ht="43.2" x14ac:dyDescent="0.3">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28.8" x14ac:dyDescent="0.3">
      <c r="A71" s="2" t="s">
        <v>1408</v>
      </c>
      <c r="B71" s="701" t="s">
        <v>0</v>
      </c>
      <c r="C71" s="385" t="str">
        <f>VLOOKUP(B71,'7'!$B$7:$C$26,2,FALSE)</f>
        <v>Kraštovaizdžio išsaugojimas ir pritaikymas poilsiui, sveikatinimui, turzmui</v>
      </c>
      <c r="D71" s="385">
        <f>HLOOKUP(B71,'11'!$D$6:$W$75,54,FALSE)</f>
        <v>900</v>
      </c>
      <c r="E71" s="702" t="s">
        <v>1902</v>
      </c>
      <c r="F71" s="394" t="str">
        <f>IF(AND(D71&gt;0,ISBLANK(E71)),"Trūksta pagrindimo","Gerai")</f>
        <v>Gerai</v>
      </c>
      <c r="G71" s="389">
        <f t="shared" si="1"/>
        <v>71</v>
      </c>
    </row>
    <row r="72" spans="1:7" ht="28.8" x14ac:dyDescent="0.3">
      <c r="A72" s="2" t="s">
        <v>1409</v>
      </c>
      <c r="B72" s="701" t="s">
        <v>1</v>
      </c>
      <c r="C72" s="385" t="str">
        <f>VLOOKUP(B72,'7'!$B$7:$C$26,2,FALSE)</f>
        <v>Tvarios aplinkos kūrimas, aplinkosauginio sąmoningumo didinimas</v>
      </c>
      <c r="D72" s="385">
        <f>HLOOKUP(B72,'11'!$D$6:$W$75,54,FALSE)</f>
        <v>300</v>
      </c>
      <c r="E72" s="702" t="s">
        <v>1903</v>
      </c>
      <c r="F72" s="394" t="str">
        <f t="shared" ref="F72:F90" si="4">IF(AND(D72&gt;0,ISBLANK(E72)),"Trūksta pagrindimo","Gerai")</f>
        <v>Gerai</v>
      </c>
      <c r="G72" s="389">
        <f t="shared" si="1"/>
        <v>72</v>
      </c>
    </row>
    <row r="73" spans="1:7" ht="28.8" x14ac:dyDescent="0.3">
      <c r="A73" s="2" t="s">
        <v>1410</v>
      </c>
      <c r="B73" s="701" t="s">
        <v>2</v>
      </c>
      <c r="C73" s="385" t="str">
        <f>VLOOKUP(B73,'7'!$B$7:$C$26,2,FALSE)</f>
        <v>Jaunimo ir su jaunimu dirbančių organizacijų stiprinimas, jaunimo užimtumo įvairinimas</v>
      </c>
      <c r="D73" s="385">
        <f>HLOOKUP(B73,'11'!$D$6:$W$75,54,FALSE)</f>
        <v>500</v>
      </c>
      <c r="E73" s="702" t="s">
        <v>1905</v>
      </c>
      <c r="F73" s="394" t="str">
        <f t="shared" si="4"/>
        <v>Gerai</v>
      </c>
      <c r="G73" s="389">
        <f t="shared" ref="G73:G111" si="5">LEN(E73)</f>
        <v>102</v>
      </c>
    </row>
    <row r="74" spans="1:7" ht="43.2" x14ac:dyDescent="0.3">
      <c r="A74" s="2" t="s">
        <v>1411</v>
      </c>
      <c r="B74" s="701" t="s">
        <v>3</v>
      </c>
      <c r="C74" s="385" t="str">
        <f>VLOOKUP(B74,'7'!$B$7:$C$26,2,FALSE)</f>
        <v>Potencialių pareiškėjų ir projektų vykdytojų mokymai</v>
      </c>
      <c r="D74" s="385">
        <f>HLOOKUP(B74,'11'!$D$6:$W$75,54,FALSE)</f>
        <v>500</v>
      </c>
      <c r="E74" s="702" t="s">
        <v>1904</v>
      </c>
      <c r="F74" s="394" t="str">
        <f t="shared" si="4"/>
        <v>Gerai</v>
      </c>
      <c r="G74" s="389">
        <f t="shared" si="5"/>
        <v>158</v>
      </c>
    </row>
    <row r="75" spans="1:7" x14ac:dyDescent="0.3">
      <c r="A75" s="2" t="s">
        <v>1412</v>
      </c>
      <c r="B75" s="701" t="s">
        <v>4</v>
      </c>
      <c r="C75" s="385" t="str">
        <f>VLOOKUP(B75,'7'!$B$7:$C$26,2,FALSE)</f>
        <v>Skaitmeninių, informacinių, komunikacinių technologijų taikymas versle</v>
      </c>
      <c r="D75" s="385">
        <f>HLOOKUP(B75,'11'!$D$6:$W$75,54,FALSE)</f>
        <v>0</v>
      </c>
      <c r="E75" s="702"/>
      <c r="F75" s="394" t="str">
        <f t="shared" si="4"/>
        <v>Gerai</v>
      </c>
      <c r="G75" s="389">
        <f t="shared" si="5"/>
        <v>0</v>
      </c>
    </row>
    <row r="76" spans="1:7" x14ac:dyDescent="0.3">
      <c r="A76" s="2" t="s">
        <v>1413</v>
      </c>
      <c r="B76" s="701" t="s">
        <v>5</v>
      </c>
      <c r="C76" s="385" t="str">
        <f>VLOOKUP(B76,'7'!$B$7:$C$26,2,FALSE)</f>
        <v>Vietos produktų /paslaugų kūrimas ir (ar) populiarinimas taikant inovacijas</v>
      </c>
      <c r="D76" s="385">
        <f>HLOOKUP(B76,'11'!$D$6:$W$75,54,FALSE)</f>
        <v>0</v>
      </c>
      <c r="E76" s="702"/>
      <c r="F76" s="394" t="str">
        <f t="shared" si="4"/>
        <v>Gerai</v>
      </c>
      <c r="G76" s="389">
        <f t="shared" si="5"/>
        <v>0</v>
      </c>
    </row>
    <row r="77" spans="1:7" x14ac:dyDescent="0.3">
      <c r="A77" s="2" t="s">
        <v>1414</v>
      </c>
      <c r="B77" s="701" t="s">
        <v>6</v>
      </c>
      <c r="C77" s="385" t="str">
        <f>VLOOKUP(B77,'7'!$B$7:$C$26,2,FALSE)</f>
        <v>Paslaugų įvairinimas/kūrimas, stiprinant materialinę bazę ir (ar) kompetencijas</v>
      </c>
      <c r="D77" s="385">
        <f>HLOOKUP(B77,'11'!$D$6:$W$75,54,FALSE)</f>
        <v>0</v>
      </c>
      <c r="E77" s="702"/>
      <c r="F77" s="394" t="str">
        <f t="shared" si="4"/>
        <v>Gerai</v>
      </c>
      <c r="G77" s="389">
        <f t="shared" si="5"/>
        <v>0</v>
      </c>
    </row>
    <row r="78" spans="1:7" ht="28.8" x14ac:dyDescent="0.3">
      <c r="A78" s="2" t="s">
        <v>1415</v>
      </c>
      <c r="B78" s="701" t="s">
        <v>7</v>
      </c>
      <c r="C78" s="385" t="str">
        <f>VLOOKUP(B78,'7'!$B$7:$C$26,2,FALSE)</f>
        <v xml:space="preserve">Vietos gyventojų socialinio aktyvumo bei verslumo skatinimas įtraukiant pažeidžiamas grupes </v>
      </c>
      <c r="D78" s="385">
        <f>HLOOKUP(B78,'11'!$D$6:$W$75,54,FALSE)</f>
        <v>0</v>
      </c>
      <c r="E78" s="702"/>
      <c r="F78" s="394" t="str">
        <f t="shared" si="4"/>
        <v>Gerai</v>
      </c>
      <c r="G78" s="389">
        <f t="shared" si="5"/>
        <v>0</v>
      </c>
    </row>
    <row r="79" spans="1:7" x14ac:dyDescent="0.3">
      <c r="A79" s="2" t="s">
        <v>1416</v>
      </c>
      <c r="B79" s="701" t="s">
        <v>8</v>
      </c>
      <c r="C79" s="385" t="str">
        <f>VLOOKUP(B79,'7'!$B$7:$C$26,2,FALSE)</f>
        <v>Bendruomeninio verslo kūrimas skatinant savanorystę</v>
      </c>
      <c r="D79" s="385">
        <f>HLOOKUP(B79,'11'!$D$6:$W$75,54,FALSE)</f>
        <v>0</v>
      </c>
      <c r="E79" s="702"/>
      <c r="F79" s="394" t="str">
        <f t="shared" si="4"/>
        <v>Gerai</v>
      </c>
      <c r="G79" s="389">
        <f t="shared" si="5"/>
        <v>0</v>
      </c>
    </row>
    <row r="80" spans="1:7" x14ac:dyDescent="0.3">
      <c r="A80" s="2" t="s">
        <v>1417</v>
      </c>
      <c r="B80" s="701" t="s">
        <v>9</v>
      </c>
      <c r="C80" s="385" t="str">
        <f>VLOOKUP(B80,'7'!$B$7:$C$26,2,FALSE)</f>
        <v>Tarptautinis, teritorinis bendradarbiavimas</v>
      </c>
      <c r="D80" s="385">
        <f>HLOOKUP(B80,'11'!$D$6:$W$75,54,FALSE)</f>
        <v>0</v>
      </c>
      <c r="E80" s="702"/>
      <c r="F80" s="394" t="str">
        <f t="shared" si="4"/>
        <v>Gerai</v>
      </c>
      <c r="G80" s="389">
        <f t="shared" si="5"/>
        <v>0</v>
      </c>
    </row>
    <row r="81" spans="1:7" x14ac:dyDescent="0.3">
      <c r="A81" s="2" t="s">
        <v>1418</v>
      </c>
      <c r="B81" s="701" t="s">
        <v>43</v>
      </c>
      <c r="C81" s="385">
        <f>VLOOKUP(B81,'7'!$B$7:$C$26,2,FALSE)</f>
        <v>0</v>
      </c>
      <c r="D81" s="385">
        <f>HLOOKUP(B81,'11'!$D$6:$W$75,54,FALSE)</f>
        <v>0</v>
      </c>
      <c r="E81" s="702"/>
      <c r="F81" s="394" t="str">
        <f t="shared" si="4"/>
        <v>Gerai</v>
      </c>
      <c r="G81" s="389">
        <f t="shared" si="5"/>
        <v>0</v>
      </c>
    </row>
    <row r="82" spans="1:7" x14ac:dyDescent="0.3">
      <c r="A82" s="2" t="s">
        <v>1419</v>
      </c>
      <c r="B82" s="701" t="s">
        <v>44</v>
      </c>
      <c r="C82" s="385">
        <f>VLOOKUP(B82,'7'!$B$7:$C$26,2,FALSE)</f>
        <v>0</v>
      </c>
      <c r="D82" s="385">
        <f>HLOOKUP(B82,'11'!$D$6:$W$75,54,FALSE)</f>
        <v>0</v>
      </c>
      <c r="E82" s="702"/>
      <c r="F82" s="394" t="str">
        <f t="shared" si="4"/>
        <v>Gerai</v>
      </c>
      <c r="G82" s="389">
        <f t="shared" si="5"/>
        <v>0</v>
      </c>
    </row>
    <row r="83" spans="1:7" x14ac:dyDescent="0.3">
      <c r="A83" s="2" t="s">
        <v>1420</v>
      </c>
      <c r="B83" s="701" t="s">
        <v>45</v>
      </c>
      <c r="C83" s="385">
        <f>VLOOKUP(B83,'7'!$B$7:$C$26,2,FALSE)</f>
        <v>0</v>
      </c>
      <c r="D83" s="385">
        <f>HLOOKUP(B83,'11'!$D$6:$W$75,54,FALSE)</f>
        <v>0</v>
      </c>
      <c r="E83" s="702"/>
      <c r="F83" s="394" t="str">
        <f t="shared" si="4"/>
        <v>Gerai</v>
      </c>
      <c r="G83" s="389">
        <f t="shared" si="5"/>
        <v>0</v>
      </c>
    </row>
    <row r="84" spans="1:7" x14ac:dyDescent="0.3">
      <c r="A84" s="2" t="s">
        <v>1421</v>
      </c>
      <c r="B84" s="701" t="s">
        <v>46</v>
      </c>
      <c r="C84" s="385">
        <f>VLOOKUP(B84,'7'!$B$7:$C$26,2,FALSE)</f>
        <v>0</v>
      </c>
      <c r="D84" s="385">
        <f>HLOOKUP(B84,'11'!$D$6:$W$75,54,FALSE)</f>
        <v>0</v>
      </c>
      <c r="E84" s="702"/>
      <c r="F84" s="394" t="str">
        <f t="shared" si="4"/>
        <v>Gerai</v>
      </c>
      <c r="G84" s="389">
        <f t="shared" si="5"/>
        <v>0</v>
      </c>
    </row>
    <row r="85" spans="1:7" x14ac:dyDescent="0.3">
      <c r="A85" s="2" t="s">
        <v>1422</v>
      </c>
      <c r="B85" s="701" t="s">
        <v>47</v>
      </c>
      <c r="C85" s="385">
        <f>VLOOKUP(B85,'7'!$B$7:$C$26,2,FALSE)</f>
        <v>0</v>
      </c>
      <c r="D85" s="385">
        <f>HLOOKUP(B85,'11'!$D$6:$W$75,54,FALSE)</f>
        <v>0</v>
      </c>
      <c r="E85" s="702"/>
      <c r="F85" s="394" t="str">
        <f t="shared" si="4"/>
        <v>Gerai</v>
      </c>
      <c r="G85" s="389">
        <f t="shared" si="5"/>
        <v>0</v>
      </c>
    </row>
    <row r="86" spans="1:7" x14ac:dyDescent="0.3">
      <c r="A86" s="2" t="s">
        <v>1423</v>
      </c>
      <c r="B86" s="701" t="s">
        <v>48</v>
      </c>
      <c r="C86" s="385">
        <f>VLOOKUP(B86,'7'!$B$7:$C$26,2,FALSE)</f>
        <v>0</v>
      </c>
      <c r="D86" s="385">
        <f>HLOOKUP(B86,'11'!$D$6:$W$75,54,FALSE)</f>
        <v>0</v>
      </c>
      <c r="E86" s="702"/>
      <c r="F86" s="394" t="str">
        <f t="shared" si="4"/>
        <v>Gerai</v>
      </c>
      <c r="G86" s="389">
        <f t="shared" si="5"/>
        <v>0</v>
      </c>
    </row>
    <row r="87" spans="1:7" x14ac:dyDescent="0.3">
      <c r="A87" s="2" t="s">
        <v>1424</v>
      </c>
      <c r="B87" s="701" t="s">
        <v>49</v>
      </c>
      <c r="C87" s="385">
        <f>VLOOKUP(B87,'7'!$B$7:$C$26,2,FALSE)</f>
        <v>0</v>
      </c>
      <c r="D87" s="385">
        <f>HLOOKUP(B87,'11'!$D$6:$W$75,54,FALSE)</f>
        <v>0</v>
      </c>
      <c r="E87" s="702"/>
      <c r="F87" s="394" t="str">
        <f t="shared" si="4"/>
        <v>Gerai</v>
      </c>
      <c r="G87" s="389">
        <f t="shared" si="5"/>
        <v>0</v>
      </c>
    </row>
    <row r="88" spans="1:7" x14ac:dyDescent="0.3">
      <c r="A88" s="2" t="s">
        <v>1425</v>
      </c>
      <c r="B88" s="701" t="s">
        <v>50</v>
      </c>
      <c r="C88" s="385">
        <f>VLOOKUP(B88,'7'!$B$7:$C$26,2,FALSE)</f>
        <v>0</v>
      </c>
      <c r="D88" s="385">
        <f>HLOOKUP(B88,'11'!$D$6:$W$75,54,FALSE)</f>
        <v>0</v>
      </c>
      <c r="E88" s="702"/>
      <c r="F88" s="394" t="str">
        <f t="shared" si="4"/>
        <v>Gerai</v>
      </c>
      <c r="G88" s="389">
        <f t="shared" si="5"/>
        <v>0</v>
      </c>
    </row>
    <row r="89" spans="1:7" x14ac:dyDescent="0.3">
      <c r="A89" s="2" t="s">
        <v>1426</v>
      </c>
      <c r="B89" s="701" t="s">
        <v>51</v>
      </c>
      <c r="C89" s="385">
        <f>VLOOKUP(B89,'7'!$B$7:$C$26,2,FALSE)</f>
        <v>0</v>
      </c>
      <c r="D89" s="385">
        <f>HLOOKUP(B89,'11'!$D$6:$W$75,54,FALSE)</f>
        <v>0</v>
      </c>
      <c r="E89" s="702"/>
      <c r="F89" s="394" t="str">
        <f t="shared" si="4"/>
        <v>Gerai</v>
      </c>
      <c r="G89" s="389">
        <f t="shared" si="5"/>
        <v>0</v>
      </c>
    </row>
    <row r="90" spans="1:7" x14ac:dyDescent="0.3">
      <c r="A90" s="2" t="s">
        <v>1427</v>
      </c>
      <c r="B90" s="701" t="s">
        <v>52</v>
      </c>
      <c r="C90" s="385">
        <f>VLOOKUP(B90,'7'!$B$7:$C$26,2,FALSE)</f>
        <v>0</v>
      </c>
      <c r="D90" s="385">
        <f>HLOOKUP(B90,'11'!$D$6:$W$75,54,FALSE)</f>
        <v>0</v>
      </c>
      <c r="E90" s="702"/>
      <c r="F90" s="394" t="str">
        <f t="shared" si="4"/>
        <v>Gerai</v>
      </c>
      <c r="G90" s="389">
        <f t="shared" si="5"/>
        <v>0</v>
      </c>
    </row>
    <row r="91" spans="1:7" ht="28.8" x14ac:dyDescent="0.3">
      <c r="A91" s="2" t="s">
        <v>1428</v>
      </c>
      <c r="B91" s="398" t="s">
        <v>155</v>
      </c>
      <c r="C91" s="186" t="str">
        <f>'6'!C12</f>
        <v>Socialinės įtraukties skatinimas. Asmenų, kuriems taikomi remiami socialinės įtraukties projektai, skaičius</v>
      </c>
      <c r="D91" s="384"/>
      <c r="E91" s="399"/>
      <c r="F91" s="393"/>
      <c r="G91" s="388"/>
    </row>
    <row r="92" spans="1:7" ht="43.2" x14ac:dyDescent="0.3">
      <c r="A92" s="2" t="s">
        <v>1429</v>
      </c>
      <c r="B92" s="701" t="s">
        <v>0</v>
      </c>
      <c r="C92" s="385" t="str">
        <f>VLOOKUP(B92,'7'!$B$7:$C$26,2,FALSE)</f>
        <v>Kraštovaizdžio išsaugojimas ir pritaikymas poilsiui, sveikatinimui, turzmui</v>
      </c>
      <c r="D92" s="385">
        <f>HLOOKUP(B92,'11'!$D$6:$W$75,70,FALSE)</f>
        <v>50</v>
      </c>
      <c r="E92" s="702" t="s">
        <v>1907</v>
      </c>
      <c r="F92" s="394" t="str">
        <f>IF(AND(D92&gt;0,ISBLANK(E92)),"Trūksta pagrindimo","Gerai")</f>
        <v>Gerai</v>
      </c>
      <c r="G92" s="389">
        <f t="shared" si="5"/>
        <v>136</v>
      </c>
    </row>
    <row r="93" spans="1:7" x14ac:dyDescent="0.3">
      <c r="A93" s="2" t="s">
        <v>1430</v>
      </c>
      <c r="B93" s="701" t="s">
        <v>1</v>
      </c>
      <c r="C93" s="385" t="str">
        <f>VLOOKUP(B93,'7'!$B$7:$C$26,2,FALSE)</f>
        <v>Tvarios aplinkos kūrimas, aplinkosauginio sąmoningumo didinimas</v>
      </c>
      <c r="D93" s="385">
        <f>HLOOKUP(B93,'11'!$D$6:$W$75,70,FALSE)</f>
        <v>0</v>
      </c>
      <c r="E93" s="702"/>
      <c r="F93" s="394" t="str">
        <f t="shared" ref="F93:F111" si="6">IF(AND(D93&gt;0,ISBLANK(E93)),"Trūksta pagrindimo","Gerai")</f>
        <v>Gerai</v>
      </c>
      <c r="G93" s="389">
        <f t="shared" si="5"/>
        <v>0</v>
      </c>
    </row>
    <row r="94" spans="1:7" ht="28.8" x14ac:dyDescent="0.3">
      <c r="A94" s="2" t="s">
        <v>1431</v>
      </c>
      <c r="B94" s="701" t="s">
        <v>2</v>
      </c>
      <c r="C94" s="385" t="str">
        <f>VLOOKUP(B94,'7'!$B$7:$C$26,2,FALSE)</f>
        <v>Jaunimo ir su jaunimu dirbančių organizacijų stiprinimas, jaunimo užimtumo įvairinimas</v>
      </c>
      <c r="D94" s="385">
        <f>HLOOKUP(B94,'11'!$D$6:$W$75,70,FALSE)</f>
        <v>40</v>
      </c>
      <c r="E94" s="702" t="s">
        <v>1906</v>
      </c>
      <c r="F94" s="394" t="str">
        <f t="shared" si="6"/>
        <v>Gerai</v>
      </c>
      <c r="G94" s="389">
        <f t="shared" si="5"/>
        <v>92</v>
      </c>
    </row>
    <row r="95" spans="1:7" x14ac:dyDescent="0.3">
      <c r="A95" s="2" t="s">
        <v>1432</v>
      </c>
      <c r="B95" s="701" t="s">
        <v>3</v>
      </c>
      <c r="C95" s="385" t="str">
        <f>VLOOKUP(B95,'7'!$B$7:$C$26,2,FALSE)</f>
        <v>Potencialių pareiškėjų ir projektų vykdytojų mokymai</v>
      </c>
      <c r="D95" s="385">
        <f>HLOOKUP(B95,'11'!$D$6:$W$75,70,FALSE)</f>
        <v>0</v>
      </c>
      <c r="E95" s="702"/>
      <c r="F95" s="394" t="str">
        <f t="shared" si="6"/>
        <v>Gerai</v>
      </c>
      <c r="G95" s="389">
        <f t="shared" si="5"/>
        <v>0</v>
      </c>
    </row>
    <row r="96" spans="1:7" x14ac:dyDescent="0.3">
      <c r="A96" s="2" t="s">
        <v>1433</v>
      </c>
      <c r="B96" s="701" t="s">
        <v>4</v>
      </c>
      <c r="C96" s="385" t="str">
        <f>VLOOKUP(B96,'7'!$B$7:$C$26,2,FALSE)</f>
        <v>Skaitmeninių, informacinių, komunikacinių technologijų taikymas versle</v>
      </c>
      <c r="D96" s="385">
        <f>HLOOKUP(B96,'11'!$D$6:$W$75,70,FALSE)</f>
        <v>0</v>
      </c>
      <c r="E96" s="702"/>
      <c r="F96" s="394" t="str">
        <f t="shared" si="6"/>
        <v>Gerai</v>
      </c>
      <c r="G96" s="389">
        <f t="shared" si="5"/>
        <v>0</v>
      </c>
    </row>
    <row r="97" spans="1:7" x14ac:dyDescent="0.3">
      <c r="A97" s="2" t="s">
        <v>1434</v>
      </c>
      <c r="B97" s="701" t="s">
        <v>5</v>
      </c>
      <c r="C97" s="385" t="str">
        <f>VLOOKUP(B97,'7'!$B$7:$C$26,2,FALSE)</f>
        <v>Vietos produktų /paslaugų kūrimas ir (ar) populiarinimas taikant inovacijas</v>
      </c>
      <c r="D97" s="385">
        <f>HLOOKUP(B97,'11'!$D$6:$W$75,70,FALSE)</f>
        <v>0</v>
      </c>
      <c r="E97" s="702"/>
      <c r="F97" s="394" t="str">
        <f t="shared" si="6"/>
        <v>Gerai</v>
      </c>
      <c r="G97" s="389">
        <f t="shared" si="5"/>
        <v>0</v>
      </c>
    </row>
    <row r="98" spans="1:7" x14ac:dyDescent="0.3">
      <c r="A98" s="2" t="s">
        <v>1435</v>
      </c>
      <c r="B98" s="701" t="s">
        <v>6</v>
      </c>
      <c r="C98" s="385" t="str">
        <f>VLOOKUP(B98,'7'!$B$7:$C$26,2,FALSE)</f>
        <v>Paslaugų įvairinimas/kūrimas, stiprinant materialinę bazę ir (ar) kompetencijas</v>
      </c>
      <c r="D98" s="385">
        <f>HLOOKUP(B98,'11'!$D$6:$W$75,70,FALSE)</f>
        <v>0</v>
      </c>
      <c r="E98" s="702"/>
      <c r="F98" s="394" t="str">
        <f t="shared" si="6"/>
        <v>Gerai</v>
      </c>
      <c r="G98" s="389">
        <f t="shared" si="5"/>
        <v>0</v>
      </c>
    </row>
    <row r="99" spans="1:7" ht="43.2" x14ac:dyDescent="0.3">
      <c r="A99" s="2" t="s">
        <v>1436</v>
      </c>
      <c r="B99" s="701" t="s">
        <v>7</v>
      </c>
      <c r="C99" s="385" t="str">
        <f>VLOOKUP(B99,'7'!$B$7:$C$26,2,FALSE)</f>
        <v xml:space="preserve">Vietos gyventojų socialinio aktyvumo bei verslumo skatinimas įtraukiant pažeidžiamas grupes </v>
      </c>
      <c r="D99" s="385">
        <f>HLOOKUP(B99,'11'!$D$6:$W$75,70,FALSE)</f>
        <v>80</v>
      </c>
      <c r="E99" s="702" t="s">
        <v>1908</v>
      </c>
      <c r="F99" s="394" t="str">
        <f t="shared" si="6"/>
        <v>Gerai</v>
      </c>
      <c r="G99" s="389">
        <f t="shared" si="5"/>
        <v>159</v>
      </c>
    </row>
    <row r="100" spans="1:7" x14ac:dyDescent="0.3">
      <c r="A100" s="2" t="s">
        <v>1437</v>
      </c>
      <c r="B100" s="701" t="s">
        <v>8</v>
      </c>
      <c r="C100" s="385" t="str">
        <f>VLOOKUP(B100,'7'!$B$7:$C$26,2,FALSE)</f>
        <v>Bendruomeninio verslo kūrimas skatinant savanorystę</v>
      </c>
      <c r="D100" s="385">
        <f>HLOOKUP(B100,'11'!$D$6:$W$75,70,FALSE)</f>
        <v>5</v>
      </c>
      <c r="E100" s="702" t="s">
        <v>1909</v>
      </c>
      <c r="F100" s="394" t="str">
        <f t="shared" si="6"/>
        <v>Gerai</v>
      </c>
      <c r="G100" s="389">
        <f t="shared" si="5"/>
        <v>42</v>
      </c>
    </row>
    <row r="101" spans="1:7" x14ac:dyDescent="0.3">
      <c r="A101" s="2" t="s">
        <v>1438</v>
      </c>
      <c r="B101" s="701" t="s">
        <v>9</v>
      </c>
      <c r="C101" s="385" t="str">
        <f>VLOOKUP(B101,'7'!$B$7:$C$26,2,FALSE)</f>
        <v>Tarptautinis, teritorinis bendradarbiavimas</v>
      </c>
      <c r="D101" s="385">
        <f>HLOOKUP(B101,'11'!$D$6:$W$75,70,FALSE)</f>
        <v>0</v>
      </c>
      <c r="E101" s="702"/>
      <c r="F101" s="394" t="str">
        <f t="shared" si="6"/>
        <v>Gerai</v>
      </c>
      <c r="G101" s="389">
        <f t="shared" si="5"/>
        <v>0</v>
      </c>
    </row>
    <row r="102" spans="1:7" x14ac:dyDescent="0.3">
      <c r="A102" s="2" t="s">
        <v>1439</v>
      </c>
      <c r="B102" s="701" t="s">
        <v>43</v>
      </c>
      <c r="C102" s="385">
        <f>VLOOKUP(B102,'7'!$B$7:$C$26,2,FALSE)</f>
        <v>0</v>
      </c>
      <c r="D102" s="385">
        <f>HLOOKUP(B102,'11'!$D$6:$W$75,70,FALSE)</f>
        <v>0</v>
      </c>
      <c r="E102" s="702"/>
      <c r="F102" s="394" t="str">
        <f t="shared" si="6"/>
        <v>Gerai</v>
      </c>
      <c r="G102" s="389">
        <f t="shared" si="5"/>
        <v>0</v>
      </c>
    </row>
    <row r="103" spans="1:7" x14ac:dyDescent="0.3">
      <c r="A103" s="2" t="s">
        <v>1440</v>
      </c>
      <c r="B103" s="701" t="s">
        <v>44</v>
      </c>
      <c r="C103" s="385">
        <f>VLOOKUP(B103,'7'!$B$7:$C$26,2,FALSE)</f>
        <v>0</v>
      </c>
      <c r="D103" s="385">
        <f>HLOOKUP(B103,'11'!$D$6:$W$75,70,FALSE)</f>
        <v>0</v>
      </c>
      <c r="E103" s="702"/>
      <c r="F103" s="394" t="str">
        <f t="shared" si="6"/>
        <v>Gerai</v>
      </c>
      <c r="G103" s="389">
        <f t="shared" si="5"/>
        <v>0</v>
      </c>
    </row>
    <row r="104" spans="1:7" x14ac:dyDescent="0.3">
      <c r="A104" s="2" t="s">
        <v>1441</v>
      </c>
      <c r="B104" s="701" t="s">
        <v>45</v>
      </c>
      <c r="C104" s="385">
        <f>VLOOKUP(B104,'7'!$B$7:$C$26,2,FALSE)</f>
        <v>0</v>
      </c>
      <c r="D104" s="385">
        <f>HLOOKUP(B104,'11'!$D$6:$W$75,70,FALSE)</f>
        <v>0</v>
      </c>
      <c r="E104" s="702"/>
      <c r="F104" s="394" t="str">
        <f t="shared" si="6"/>
        <v>Gerai</v>
      </c>
      <c r="G104" s="389">
        <f t="shared" si="5"/>
        <v>0</v>
      </c>
    </row>
    <row r="105" spans="1:7" x14ac:dyDescent="0.3">
      <c r="A105" s="2" t="s">
        <v>1442</v>
      </c>
      <c r="B105" s="701" t="s">
        <v>46</v>
      </c>
      <c r="C105" s="385">
        <f>VLOOKUP(B105,'7'!$B$7:$C$26,2,FALSE)</f>
        <v>0</v>
      </c>
      <c r="D105" s="385">
        <f>HLOOKUP(B105,'11'!$D$6:$W$75,70,FALSE)</f>
        <v>0</v>
      </c>
      <c r="E105" s="702"/>
      <c r="F105" s="394" t="str">
        <f t="shared" si="6"/>
        <v>Gerai</v>
      </c>
      <c r="G105" s="389">
        <f t="shared" si="5"/>
        <v>0</v>
      </c>
    </row>
    <row r="106" spans="1:7" x14ac:dyDescent="0.3">
      <c r="A106" s="2" t="s">
        <v>1443</v>
      </c>
      <c r="B106" s="701" t="s">
        <v>47</v>
      </c>
      <c r="C106" s="385">
        <f>VLOOKUP(B106,'7'!$B$7:$C$26,2,FALSE)</f>
        <v>0</v>
      </c>
      <c r="D106" s="385">
        <f>HLOOKUP(B106,'11'!$D$6:$W$75,70,FALSE)</f>
        <v>0</v>
      </c>
      <c r="E106" s="702"/>
      <c r="F106" s="394" t="str">
        <f t="shared" si="6"/>
        <v>Gerai</v>
      </c>
      <c r="G106" s="389">
        <f t="shared" si="5"/>
        <v>0</v>
      </c>
    </row>
    <row r="107" spans="1:7" x14ac:dyDescent="0.3">
      <c r="A107" s="2" t="s">
        <v>1444</v>
      </c>
      <c r="B107" s="701" t="s">
        <v>48</v>
      </c>
      <c r="C107" s="385">
        <f>VLOOKUP(B107,'7'!$B$7:$C$26,2,FALSE)</f>
        <v>0</v>
      </c>
      <c r="D107" s="385">
        <f>HLOOKUP(B107,'11'!$D$6:$W$75,70,FALSE)</f>
        <v>0</v>
      </c>
      <c r="E107" s="702"/>
      <c r="F107" s="394" t="str">
        <f t="shared" si="6"/>
        <v>Gerai</v>
      </c>
      <c r="G107" s="389">
        <f t="shared" si="5"/>
        <v>0</v>
      </c>
    </row>
    <row r="108" spans="1:7" x14ac:dyDescent="0.3">
      <c r="A108" s="2" t="s">
        <v>1445</v>
      </c>
      <c r="B108" s="701" t="s">
        <v>49</v>
      </c>
      <c r="C108" s="385">
        <f>VLOOKUP(B108,'7'!$B$7:$C$26,2,FALSE)</f>
        <v>0</v>
      </c>
      <c r="D108" s="385">
        <f>HLOOKUP(B108,'11'!$D$6:$W$75,70,FALSE)</f>
        <v>0</v>
      </c>
      <c r="E108" s="702"/>
      <c r="F108" s="394" t="str">
        <f t="shared" si="6"/>
        <v>Gerai</v>
      </c>
      <c r="G108" s="389">
        <f t="shared" si="5"/>
        <v>0</v>
      </c>
    </row>
    <row r="109" spans="1:7" x14ac:dyDescent="0.3">
      <c r="A109" s="2" t="s">
        <v>1446</v>
      </c>
      <c r="B109" s="701" t="s">
        <v>50</v>
      </c>
      <c r="C109" s="385">
        <f>VLOOKUP(B109,'7'!$B$7:$C$26,2,FALSE)</f>
        <v>0</v>
      </c>
      <c r="D109" s="385">
        <f>HLOOKUP(B109,'11'!$D$6:$W$75,70,FALSE)</f>
        <v>0</v>
      </c>
      <c r="E109" s="702"/>
      <c r="F109" s="394" t="str">
        <f t="shared" si="6"/>
        <v>Gerai</v>
      </c>
      <c r="G109" s="389">
        <f t="shared" si="5"/>
        <v>0</v>
      </c>
    </row>
    <row r="110" spans="1:7" x14ac:dyDescent="0.3">
      <c r="A110" s="2" t="s">
        <v>1447</v>
      </c>
      <c r="B110" s="701" t="s">
        <v>51</v>
      </c>
      <c r="C110" s="385">
        <f>VLOOKUP(B110,'7'!$B$7:$C$26,2,FALSE)</f>
        <v>0</v>
      </c>
      <c r="D110" s="385">
        <f>HLOOKUP(B110,'11'!$D$6:$W$75,70,FALSE)</f>
        <v>0</v>
      </c>
      <c r="E110" s="702"/>
      <c r="F110" s="394" t="str">
        <f t="shared" si="6"/>
        <v>Gerai</v>
      </c>
      <c r="G110" s="389">
        <f t="shared" si="5"/>
        <v>0</v>
      </c>
    </row>
    <row r="111" spans="1:7" ht="15" thickBot="1" x14ac:dyDescent="0.35">
      <c r="A111" s="2" t="s">
        <v>1448</v>
      </c>
      <c r="B111" s="703" t="s">
        <v>52</v>
      </c>
      <c r="C111" s="704">
        <f>VLOOKUP(B111,'7'!$B$7:$C$26,2,FALSE)</f>
        <v>0</v>
      </c>
      <c r="D111" s="704">
        <f>HLOOKUP(B111,'11'!$D$6:$W$75,70,FALSE)</f>
        <v>0</v>
      </c>
      <c r="E111" s="705"/>
      <c r="F111" s="395" t="str">
        <f t="shared" si="6"/>
        <v>Gerai</v>
      </c>
      <c r="G111" s="390">
        <f t="shared" si="5"/>
        <v>0</v>
      </c>
    </row>
    <row r="114" spans="2:3" x14ac:dyDescent="0.3">
      <c r="B114" s="2"/>
      <c r="C114" s="360" t="s">
        <v>1360</v>
      </c>
    </row>
    <row r="115" spans="2:3" ht="43.2" x14ac:dyDescent="0.3">
      <c r="B115" s="2">
        <v>1</v>
      </c>
      <c r="C115" s="312" t="s">
        <v>1452</v>
      </c>
    </row>
    <row r="116" spans="2:3" ht="28.8" x14ac:dyDescent="0.3">
      <c r="B116" s="2">
        <v>2</v>
      </c>
      <c r="C116" s="312" t="s">
        <v>1361</v>
      </c>
    </row>
    <row r="117" spans="2:3" ht="72" x14ac:dyDescent="0.3">
      <c r="B117" s="2">
        <v>3</v>
      </c>
      <c r="C117" s="312" t="s">
        <v>1449</v>
      </c>
    </row>
    <row r="118" spans="2:3" ht="43.2" x14ac:dyDescent="0.3">
      <c r="B118" s="2">
        <v>4</v>
      </c>
      <c r="C118" s="312" t="s">
        <v>1453</v>
      </c>
    </row>
    <row r="119" spans="2:3" ht="86.4" x14ac:dyDescent="0.3">
      <c r="B119" s="2">
        <v>5</v>
      </c>
      <c r="C119" s="312" t="s">
        <v>1451</v>
      </c>
    </row>
    <row r="120" spans="2:3" x14ac:dyDescent="0.3">
      <c r="B120" s="2">
        <v>6</v>
      </c>
      <c r="C120" s="312" t="s">
        <v>1362</v>
      </c>
    </row>
    <row r="121" spans="2:3" ht="28.8" x14ac:dyDescent="0.3">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xr:uid="{00000000-0002-0000-0C00-000000000000}">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2"/>
  <sheetViews>
    <sheetView topLeftCell="A3" zoomScaleNormal="100" workbookViewId="0">
      <selection activeCell="D8" sqref="D8"/>
    </sheetView>
  </sheetViews>
  <sheetFormatPr defaultColWidth="9.109375" defaultRowHeight="14.4" x14ac:dyDescent="0.3"/>
  <cols>
    <col min="1" max="1" width="8.6640625" style="10" customWidth="1"/>
    <col min="2" max="2" width="52.6640625" style="10" customWidth="1"/>
    <col min="3" max="3" width="10.6640625" style="12" customWidth="1"/>
    <col min="4" max="23" width="11.6640625" style="81" customWidth="1"/>
    <col min="24" max="16384" width="9.109375" style="10"/>
  </cols>
  <sheetData>
    <row r="1" spans="1:23" s="42" customFormat="1" ht="18" x14ac:dyDescent="0.3">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3">
      <c r="A2"/>
      <c r="B2"/>
      <c r="C2" s="8"/>
      <c r="D2" s="84"/>
      <c r="E2" s="84"/>
      <c r="F2" s="84"/>
      <c r="G2" s="84"/>
      <c r="H2" s="84"/>
      <c r="I2" s="84"/>
      <c r="J2" s="84"/>
      <c r="K2" s="84"/>
      <c r="L2" s="84"/>
      <c r="M2" s="84"/>
      <c r="N2" s="84"/>
      <c r="O2" s="84"/>
      <c r="P2" s="84"/>
      <c r="Q2" s="84"/>
      <c r="R2" s="84"/>
      <c r="S2" s="84"/>
      <c r="T2" s="84"/>
      <c r="U2" s="84"/>
      <c r="V2" s="84"/>
      <c r="W2" s="84"/>
    </row>
    <row r="3" spans="1:23" s="13" customFormat="1" x14ac:dyDescent="0.3">
      <c r="A3" s="1"/>
      <c r="B3" s="140" t="s">
        <v>1272</v>
      </c>
      <c r="C3" s="205" t="str">
        <f>'1'!C8</f>
        <v>TRAK</v>
      </c>
    </row>
    <row r="4" spans="1:23" customFormat="1" ht="15" thickBot="1" x14ac:dyDescent="0.35"/>
    <row r="5" spans="1:23" x14ac:dyDescent="0.3">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4">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3">
      <c r="A7" t="s">
        <v>434</v>
      </c>
      <c r="B7" s="710"/>
      <c r="C7" s="706" t="s">
        <v>160</v>
      </c>
      <c r="D7" s="707" t="str">
        <f>'10'!D7</f>
        <v>Kraštovaizdžio išsaugojimas ir pritaikymas poilsiui, sveikatinimui, turzmui</v>
      </c>
      <c r="E7" s="707" t="str">
        <f>'10'!E7</f>
        <v>Tvarios aplinkos kūrimas, aplinkosauginio sąmoningumo didinimas</v>
      </c>
      <c r="F7" s="707" t="str">
        <f>'10'!F7</f>
        <v>Jaunimo ir su jaunimu dirbančių organizacijų stiprinimas, jaunimo užimtumo įvairinimas</v>
      </c>
      <c r="G7" s="707" t="str">
        <f>'10'!G7</f>
        <v>Potencialių pareiškėjų ir projektų vykdytojų mokymai</v>
      </c>
      <c r="H7" s="707" t="str">
        <f>'10'!H7</f>
        <v>Skaitmeninių, informacinių, komunikacinių technologijų taikymas versle</v>
      </c>
      <c r="I7" s="707" t="str">
        <f>'10'!I7</f>
        <v>Vietos produktų /paslaugų kūrimas ir (ar) populiarinimas taikant inovacijas</v>
      </c>
      <c r="J7" s="707" t="str">
        <f>'10'!J7</f>
        <v>Paslaugų įvairinimas/kūrimas, stiprinant materialinę bazę ir (ar) kompetencijas</v>
      </c>
      <c r="K7" s="707" t="str">
        <f>'10'!K7</f>
        <v xml:space="preserve">Vietos gyventojų socialinio aktyvumo bei verslumo skatinimas įtraukiant pažeidžiamas grupes </v>
      </c>
      <c r="L7" s="707" t="str">
        <f>'10'!L7</f>
        <v>Bendruomeninio verslo kūrimas skatinant savanorystę</v>
      </c>
      <c r="M7" s="707" t="str">
        <f>'10'!M7</f>
        <v>Tarptautinis, teritorinis bendradarbiavimas</v>
      </c>
      <c r="N7" s="707">
        <f>'10'!N7</f>
        <v>0</v>
      </c>
      <c r="O7" s="707">
        <f>'10'!O7</f>
        <v>0</v>
      </c>
      <c r="P7" s="707">
        <f>'10'!P7</f>
        <v>0</v>
      </c>
      <c r="Q7" s="707">
        <f>'10'!Q7</f>
        <v>0</v>
      </c>
      <c r="R7" s="707">
        <f>'10'!R7</f>
        <v>0</v>
      </c>
      <c r="S7" s="707">
        <f>'10'!S7</f>
        <v>0</v>
      </c>
      <c r="T7" s="707">
        <f>'10'!T7</f>
        <v>0</v>
      </c>
      <c r="U7" s="707">
        <f>'10'!U7</f>
        <v>0</v>
      </c>
      <c r="V7" s="707">
        <f>'10'!V7</f>
        <v>0</v>
      </c>
      <c r="W7" s="711">
        <f>'10'!W7</f>
        <v>0</v>
      </c>
    </row>
    <row r="8" spans="1:23" x14ac:dyDescent="0.3">
      <c r="A8" t="s">
        <v>435</v>
      </c>
      <c r="B8" s="533" t="s">
        <v>457</v>
      </c>
      <c r="C8" s="112">
        <f>SUM(D8:W8)</f>
        <v>9.5</v>
      </c>
      <c r="D8" s="111">
        <f>'11'!D25</f>
        <v>0</v>
      </c>
      <c r="E8" s="111">
        <f>'11'!E25</f>
        <v>0</v>
      </c>
      <c r="F8" s="111">
        <f>'11'!F25</f>
        <v>0</v>
      </c>
      <c r="G8" s="111">
        <f>'11'!G25</f>
        <v>0</v>
      </c>
      <c r="H8" s="111">
        <f>'11'!H25</f>
        <v>2</v>
      </c>
      <c r="I8" s="111">
        <f>'11'!I25</f>
        <v>1</v>
      </c>
      <c r="J8" s="111">
        <f>'11'!J25</f>
        <v>4</v>
      </c>
      <c r="K8" s="111">
        <f>'11'!K25</f>
        <v>2</v>
      </c>
      <c r="L8" s="111">
        <f>'11'!L25</f>
        <v>0.5</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3">
      <c r="A9" t="s">
        <v>436</v>
      </c>
      <c r="B9" s="533" t="str">
        <f>'11'!B26</f>
        <v>Ar aktualus darbo vietų paskirstymas pagal lytį?</v>
      </c>
      <c r="C9" s="745"/>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3">
      <c r="A10" t="s">
        <v>437</v>
      </c>
      <c r="B10" s="533" t="str">
        <f>'11'!B27</f>
        <v>Ar aktualus darbo vietų paskirstymas pagal amžių?</v>
      </c>
      <c r="C10" s="745"/>
      <c r="D10" s="111" t="str">
        <f>'11'!D27</f>
        <v>Ne</v>
      </c>
      <c r="E10" s="111" t="str">
        <f>'11'!E27</f>
        <v>Ne</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3">
      <c r="A11" t="s">
        <v>438</v>
      </c>
      <c r="B11" s="382" t="s">
        <v>468</v>
      </c>
      <c r="C11" s="112">
        <f t="shared" ref="C11:C15" si="0">SUM(D11:W11)</f>
        <v>0</v>
      </c>
      <c r="D11" s="111">
        <f>SUM(D12:D14)</f>
        <v>0</v>
      </c>
      <c r="E11" s="111">
        <f t="shared" ref="E11:W11" si="1">SUM(E12:E14)</f>
        <v>0</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3">
      <c r="A12" t="s">
        <v>439</v>
      </c>
      <c r="B12" s="533" t="s">
        <v>146</v>
      </c>
      <c r="C12" s="112">
        <f t="shared" si="0"/>
        <v>0</v>
      </c>
      <c r="D12" s="708" t="str">
        <f t="shared" ref="D12:W14" si="2">IF(D$9="taip","Užpildykite","netaikoma")</f>
        <v>netaikoma</v>
      </c>
      <c r="E12" s="708" t="str">
        <f t="shared" si="2"/>
        <v>netaikoma</v>
      </c>
      <c r="F12" s="708" t="str">
        <f t="shared" si="2"/>
        <v>netaikoma</v>
      </c>
      <c r="G12" s="708" t="str">
        <f t="shared" si="2"/>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x14ac:dyDescent="0.3">
      <c r="A13" t="s">
        <v>440</v>
      </c>
      <c r="B13" s="533" t="s">
        <v>147</v>
      </c>
      <c r="C13" s="112">
        <f t="shared" si="0"/>
        <v>0</v>
      </c>
      <c r="D13" s="708" t="str">
        <f t="shared" ref="D13:S13" si="3">IF(D$9="taip","Užpildykite","netaikoma")</f>
        <v>netaikoma</v>
      </c>
      <c r="E13" s="708" t="str">
        <f t="shared" si="3"/>
        <v>netaikoma</v>
      </c>
      <c r="F13" s="708" t="str">
        <f t="shared" si="3"/>
        <v>netaikoma</v>
      </c>
      <c r="G13" s="708" t="str">
        <f t="shared" si="3"/>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x14ac:dyDescent="0.3">
      <c r="A14" t="s">
        <v>441</v>
      </c>
      <c r="B14" s="533" t="s">
        <v>148</v>
      </c>
      <c r="C14" s="112">
        <f t="shared" si="0"/>
        <v>0</v>
      </c>
      <c r="D14" s="708" t="str">
        <f t="shared" si="2"/>
        <v>netaikoma</v>
      </c>
      <c r="E14" s="708" t="str">
        <f t="shared" si="2"/>
        <v>netaikoma</v>
      </c>
      <c r="F14" s="708" t="str">
        <f t="shared" si="2"/>
        <v>netaikoma</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x14ac:dyDescent="0.3">
      <c r="A15" t="s">
        <v>442</v>
      </c>
      <c r="B15" s="382" t="s">
        <v>403</v>
      </c>
      <c r="C15" s="112">
        <f t="shared" si="0"/>
        <v>0</v>
      </c>
      <c r="D15" s="111">
        <f>SUM(D16:D18)</f>
        <v>0</v>
      </c>
      <c r="E15" s="111">
        <f t="shared" ref="E15:W15" si="4">SUM(E16:E18)</f>
        <v>0</v>
      </c>
      <c r="F15" s="111">
        <f t="shared" si="4"/>
        <v>0</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3">
      <c r="A16" t="s">
        <v>443</v>
      </c>
      <c r="B16" s="533" t="s">
        <v>145</v>
      </c>
      <c r="C16" s="112">
        <f>SUM(D16:W16)</f>
        <v>0</v>
      </c>
      <c r="D16" s="708" t="str">
        <f t="shared" ref="D16:W18" si="5">IF(D$10="taip","Užpildykite","netaikoma")</f>
        <v>netaikoma</v>
      </c>
      <c r="E16" s="708" t="str">
        <f t="shared" si="5"/>
        <v>netaikoma</v>
      </c>
      <c r="F16" s="708" t="str">
        <f t="shared" si="5"/>
        <v>netaikoma</v>
      </c>
      <c r="G16" s="708" t="str">
        <f t="shared" si="5"/>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x14ac:dyDescent="0.3">
      <c r="A17" t="s">
        <v>444</v>
      </c>
      <c r="B17" s="533" t="s">
        <v>143</v>
      </c>
      <c r="C17" s="112">
        <f>SUM(D17:W17)</f>
        <v>0</v>
      </c>
      <c r="D17" s="708" t="str">
        <f t="shared" ref="D17:S17" si="6">IF(D$10="taip","Užpildykite","netaikoma")</f>
        <v>netaikoma</v>
      </c>
      <c r="E17" s="708" t="str">
        <f t="shared" si="6"/>
        <v>netaikoma</v>
      </c>
      <c r="F17" s="708" t="str">
        <f t="shared" si="6"/>
        <v>netaikoma</v>
      </c>
      <c r="G17" s="708" t="str">
        <f t="shared" si="6"/>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 thickBot="1" x14ac:dyDescent="0.35">
      <c r="A18" t="s">
        <v>445</v>
      </c>
      <c r="B18" s="713" t="s">
        <v>144</v>
      </c>
      <c r="C18" s="714">
        <f>SUM(D18:W18)</f>
        <v>0</v>
      </c>
      <c r="D18" s="715" t="str">
        <f t="shared" si="5"/>
        <v>netaikoma</v>
      </c>
      <c r="E18" s="715" t="str">
        <f t="shared" si="5"/>
        <v>netaikoma</v>
      </c>
      <c r="F18" s="715" t="str">
        <f t="shared" si="5"/>
        <v>netaikoma</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x14ac:dyDescent="0.3">
      <c r="A19" t="s">
        <v>446</v>
      </c>
      <c r="B19" s="197" t="s">
        <v>1650</v>
      </c>
      <c r="C19" s="198" t="str">
        <f t="shared" ref="C19" si="7">IF(C8=C11,"Gerai","Klaida")</f>
        <v>Klaida</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3">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x14ac:dyDescent="0.3">
      <c r="A21" t="s">
        <v>1649</v>
      </c>
      <c r="B21" s="197" t="s">
        <v>1652</v>
      </c>
      <c r="C21" s="198" t="str">
        <f>IF(C8=C15,"Gerai","Klaida")</f>
        <v>Klaida</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3">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x14ac:dyDescent="0.3">
      <c r="B24" s="95"/>
    </row>
    <row r="25" spans="1:23" x14ac:dyDescent="0.3">
      <c r="B25" s="95"/>
    </row>
    <row r="26" spans="1:23" x14ac:dyDescent="0.3">
      <c r="A26" s="1"/>
      <c r="B26" s="360" t="s">
        <v>1356</v>
      </c>
    </row>
    <row r="27" spans="1:23" ht="158.4" x14ac:dyDescent="0.3">
      <c r="A27" s="1">
        <v>1</v>
      </c>
      <c r="B27" s="335" t="s">
        <v>1634</v>
      </c>
    </row>
    <row r="28" spans="1:23" ht="100.8" x14ac:dyDescent="0.3">
      <c r="A28" s="1">
        <v>2</v>
      </c>
      <c r="B28" s="335" t="s">
        <v>1633</v>
      </c>
    </row>
    <row r="29" spans="1:23" ht="43.2" x14ac:dyDescent="0.3">
      <c r="A29" s="1">
        <v>3</v>
      </c>
      <c r="B29" s="335" t="s">
        <v>1359</v>
      </c>
    </row>
    <row r="30" spans="1:23" ht="43.2" x14ac:dyDescent="0.3">
      <c r="A30" s="1">
        <v>4</v>
      </c>
      <c r="B30" s="335" t="s">
        <v>1358</v>
      </c>
    </row>
    <row r="31" spans="1:23" ht="43.2" x14ac:dyDescent="0.3">
      <c r="A31" s="1">
        <v>5</v>
      </c>
      <c r="B31" s="335" t="s">
        <v>1357</v>
      </c>
    </row>
    <row r="32" spans="1:23" ht="86.4" x14ac:dyDescent="0.3">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xr:uid="{00000000-0002-0000-0D00-000000000000}">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7"/>
  <sheetViews>
    <sheetView topLeftCell="A26" zoomScaleNormal="100" workbookViewId="0">
      <selection activeCell="E31" sqref="E31:G35"/>
    </sheetView>
  </sheetViews>
  <sheetFormatPr defaultColWidth="9.109375" defaultRowHeight="14.4" x14ac:dyDescent="0.3"/>
  <cols>
    <col min="1" max="1" width="8.6640625" style="106" customWidth="1"/>
    <col min="2" max="2" width="12.6640625" style="106" customWidth="1"/>
    <col min="3" max="3" width="28.6640625" style="13" customWidth="1"/>
    <col min="4" max="4" width="70.6640625" style="13" customWidth="1"/>
    <col min="5" max="7" width="20.6640625" style="13" customWidth="1"/>
    <col min="8" max="8" width="50.6640625" style="13" customWidth="1"/>
    <col min="9" max="9" width="40.6640625" style="13" customWidth="1"/>
    <col min="10" max="10" width="20.6640625" style="13" customWidth="1"/>
    <col min="11" max="16384" width="9.109375" style="13"/>
  </cols>
  <sheetData>
    <row r="1" spans="1:7" s="42" customFormat="1" ht="18" x14ac:dyDescent="0.3">
      <c r="A1" s="104" t="s">
        <v>221</v>
      </c>
      <c r="B1" s="44" t="s">
        <v>636</v>
      </c>
      <c r="C1" s="44"/>
      <c r="D1" s="44"/>
      <c r="E1" s="44"/>
      <c r="F1" s="44"/>
      <c r="G1" s="44"/>
    </row>
    <row r="2" spans="1:7" x14ac:dyDescent="0.3">
      <c r="A2" s="105"/>
      <c r="B2" s="105"/>
      <c r="C2" s="1"/>
      <c r="D2" s="1"/>
      <c r="E2" s="1"/>
      <c r="F2" s="1"/>
      <c r="G2" s="1"/>
    </row>
    <row r="3" spans="1:7" x14ac:dyDescent="0.3">
      <c r="A3" s="1"/>
      <c r="B3" s="140" t="s">
        <v>1272</v>
      </c>
      <c r="C3" s="205" t="str">
        <f>'1'!C8</f>
        <v>TRAK</v>
      </c>
    </row>
    <row r="4" spans="1:7" customFormat="1" ht="15" thickBot="1" x14ac:dyDescent="0.35"/>
    <row r="5" spans="1:7" x14ac:dyDescent="0.3">
      <c r="A5" s="105"/>
      <c r="B5" s="318">
        <v>1</v>
      </c>
      <c r="C5" s="319">
        <v>2</v>
      </c>
      <c r="D5" s="319">
        <v>3</v>
      </c>
      <c r="E5" s="319">
        <v>4</v>
      </c>
      <c r="F5" s="319">
        <v>5</v>
      </c>
      <c r="G5" s="321">
        <v>6</v>
      </c>
    </row>
    <row r="6" spans="1:7" ht="43.2" x14ac:dyDescent="0.3">
      <c r="A6" s="105"/>
      <c r="B6" s="362" t="s">
        <v>54</v>
      </c>
      <c r="C6" s="96" t="s">
        <v>659</v>
      </c>
      <c r="D6" s="32" t="s">
        <v>660</v>
      </c>
      <c r="E6" s="97" t="s">
        <v>642</v>
      </c>
      <c r="F6" s="97" t="s">
        <v>643</v>
      </c>
      <c r="G6" s="363" t="s">
        <v>1348</v>
      </c>
    </row>
    <row r="7" spans="1:7" x14ac:dyDescent="0.3">
      <c r="A7" s="105" t="s">
        <v>243</v>
      </c>
      <c r="B7" s="364" t="s">
        <v>0</v>
      </c>
      <c r="C7" s="23" t="s">
        <v>20</v>
      </c>
      <c r="D7" s="98" t="str">
        <f>VLOOKUP(B7,'7'!$B$7:$C$26,2,FALSE)</f>
        <v>Kraštovaizdžio išsaugojimas ir pritaikymas poilsiui, sveikatinimui, turzmui</v>
      </c>
      <c r="E7" s="746" t="str">
        <f>HLOOKUP(B7,'10'!$D$6:$W$18,13,FALSE)</f>
        <v xml:space="preserve">Planuojami 8 projektai VVG teritorijoje. Bus patenkinti 1, 3 ir 4 poreikiai. Sutvarkytos/pritaikytos ne mažiau kaip 8 viešosios erdvės gamtoje. </v>
      </c>
      <c r="F7" s="747"/>
      <c r="G7" s="748"/>
    </row>
    <row r="8" spans="1:7" x14ac:dyDescent="0.3">
      <c r="A8" s="105" t="s">
        <v>244</v>
      </c>
      <c r="B8" s="365"/>
      <c r="C8" s="99" t="s">
        <v>537</v>
      </c>
      <c r="D8" s="100">
        <f>VLOOKUP(B7,'9'!$B$8:$D$27,3,FALSE)</f>
        <v>3</v>
      </c>
      <c r="E8" s="749"/>
      <c r="F8" s="750"/>
      <c r="G8" s="751"/>
    </row>
    <row r="9" spans="1:7" ht="28.8" x14ac:dyDescent="0.3">
      <c r="A9" s="105" t="s">
        <v>245</v>
      </c>
      <c r="B9" s="365"/>
      <c r="C9" s="101" t="s">
        <v>639</v>
      </c>
      <c r="D9" s="89" t="s">
        <v>1879</v>
      </c>
      <c r="E9" s="750"/>
      <c r="F9" s="750"/>
      <c r="G9" s="751"/>
    </row>
    <row r="10" spans="1:7" ht="28.8" x14ac:dyDescent="0.3">
      <c r="A10" s="105" t="s">
        <v>246</v>
      </c>
      <c r="B10" s="365"/>
      <c r="C10" s="102" t="s">
        <v>640</v>
      </c>
      <c r="D10" s="90" t="s">
        <v>1753</v>
      </c>
      <c r="E10" s="750"/>
      <c r="F10" s="750"/>
      <c r="G10" s="751"/>
    </row>
    <row r="11" spans="1:7" ht="28.8" x14ac:dyDescent="0.3">
      <c r="A11" s="105" t="s">
        <v>247</v>
      </c>
      <c r="B11" s="365"/>
      <c r="C11" s="103" t="s">
        <v>641</v>
      </c>
      <c r="D11" s="91" t="s">
        <v>1880</v>
      </c>
      <c r="E11" s="753"/>
      <c r="F11" s="753"/>
      <c r="G11" s="754"/>
    </row>
    <row r="12" spans="1:7" x14ac:dyDescent="0.3">
      <c r="A12" s="105" t="s">
        <v>248</v>
      </c>
      <c r="B12" s="365"/>
      <c r="C12" s="28" t="s">
        <v>366</v>
      </c>
      <c r="D12" s="92"/>
      <c r="G12" s="366"/>
    </row>
    <row r="13" spans="1:7" x14ac:dyDescent="0.3">
      <c r="A13" s="105" t="s">
        <v>249</v>
      </c>
      <c r="B13" s="365"/>
      <c r="C13" s="28" t="s">
        <v>367</v>
      </c>
      <c r="D13" s="92"/>
      <c r="G13" s="366"/>
    </row>
    <row r="14" spans="1:7" x14ac:dyDescent="0.3">
      <c r="A14" s="105" t="s">
        <v>250</v>
      </c>
      <c r="B14" s="367"/>
      <c r="C14" s="26" t="s">
        <v>368</v>
      </c>
      <c r="D14" s="93"/>
      <c r="E14" s="94"/>
      <c r="F14" s="94"/>
      <c r="G14" s="368"/>
    </row>
    <row r="15" spans="1:7" x14ac:dyDescent="0.3">
      <c r="A15" s="105" t="s">
        <v>251</v>
      </c>
      <c r="B15" s="364" t="s">
        <v>1</v>
      </c>
      <c r="C15" s="23" t="s">
        <v>20</v>
      </c>
      <c r="D15" s="98" t="str">
        <f>VLOOKUP(B15,'7'!$B$7:$C$26,2,FALSE)</f>
        <v>Tvarios aplinkos kūrimas, aplinkosauginio sąmoningumo didinimas</v>
      </c>
      <c r="E15" s="746" t="str">
        <f>HLOOKUP(B15,'10'!$D$6:$W$18,13,FALSE)</f>
        <v>Planuojami 2 projektai, skatinantys vietos gyventojų socialinį aktyvumą, sąmoningumą tvarumo ir atliekų rūšiavimo, ypač maisto, srityse, edukuojant visuomenę. Planuojama skatinti mažinti maisto atliekų kiekį ir rinktis sveiką mitybą. Planuojama įtraukti 200 gyventojų.</v>
      </c>
      <c r="F15" s="747"/>
      <c r="G15" s="748"/>
    </row>
    <row r="16" spans="1:7" x14ac:dyDescent="0.3">
      <c r="A16" s="105" t="s">
        <v>252</v>
      </c>
      <c r="B16" s="365"/>
      <c r="C16" s="99" t="s">
        <v>537</v>
      </c>
      <c r="D16" s="100">
        <f>VLOOKUP(B15,'9'!$B$8:$D$27,3,FALSE)</f>
        <v>3</v>
      </c>
      <c r="E16" s="749"/>
      <c r="F16" s="750"/>
      <c r="G16" s="751"/>
    </row>
    <row r="17" spans="1:7" ht="28.8" x14ac:dyDescent="0.3">
      <c r="A17" s="105" t="s">
        <v>478</v>
      </c>
      <c r="B17" s="365"/>
      <c r="C17" s="23" t="s">
        <v>639</v>
      </c>
      <c r="D17" s="89" t="s">
        <v>1879</v>
      </c>
      <c r="E17" s="750"/>
      <c r="F17" s="750"/>
      <c r="G17" s="751"/>
    </row>
    <row r="18" spans="1:7" ht="28.8" x14ac:dyDescent="0.3">
      <c r="A18" s="105" t="s">
        <v>479</v>
      </c>
      <c r="B18" s="365"/>
      <c r="C18" s="28" t="s">
        <v>640</v>
      </c>
      <c r="D18" s="90" t="s">
        <v>1753</v>
      </c>
      <c r="E18" s="750"/>
      <c r="F18" s="750"/>
      <c r="G18" s="751"/>
    </row>
    <row r="19" spans="1:7" ht="28.8" x14ac:dyDescent="0.3">
      <c r="A19" s="105" t="s">
        <v>480</v>
      </c>
      <c r="B19" s="365"/>
      <c r="C19" s="26" t="s">
        <v>641</v>
      </c>
      <c r="D19" s="91" t="s">
        <v>1880</v>
      </c>
      <c r="E19" s="753"/>
      <c r="F19" s="753"/>
      <c r="G19" s="754"/>
    </row>
    <row r="20" spans="1:7" x14ac:dyDescent="0.3">
      <c r="A20" s="105" t="s">
        <v>943</v>
      </c>
      <c r="B20" s="365"/>
      <c r="C20" s="28" t="s">
        <v>366</v>
      </c>
      <c r="D20" s="92"/>
      <c r="G20" s="366"/>
    </row>
    <row r="21" spans="1:7" x14ac:dyDescent="0.3">
      <c r="A21" s="105" t="s">
        <v>944</v>
      </c>
      <c r="B21" s="365"/>
      <c r="C21" s="28" t="s">
        <v>367</v>
      </c>
      <c r="D21" s="92"/>
      <c r="G21" s="366"/>
    </row>
    <row r="22" spans="1:7" x14ac:dyDescent="0.3">
      <c r="A22" s="105" t="s">
        <v>945</v>
      </c>
      <c r="B22" s="367"/>
      <c r="C22" s="26" t="s">
        <v>368</v>
      </c>
      <c r="D22" s="93"/>
      <c r="E22" s="94"/>
      <c r="F22" s="94"/>
      <c r="G22" s="368"/>
    </row>
    <row r="23" spans="1:7" ht="28.8" x14ac:dyDescent="0.3">
      <c r="A23" s="105" t="s">
        <v>946</v>
      </c>
      <c r="B23" s="364" t="s">
        <v>2</v>
      </c>
      <c r="C23" s="23" t="s">
        <v>20</v>
      </c>
      <c r="D23" s="98" t="str">
        <f>VLOOKUP(B23,'7'!$B$7:$C$26,2,FALSE)</f>
        <v>Jaunimo ir su jaunimu dirbančių organizacijų stiprinimas, jaunimo užimtumo įvairinimas</v>
      </c>
      <c r="E23" s="746" t="str">
        <f>HLOOKUP(B23,'10'!$D$6:$W$18,13,FALSE)</f>
        <v xml:space="preserve">Įgyvendinus priemonę suaktyvės jaunimo,  kitų organizacijų, dirbančių su jaunimu, veikla, daugiau jaunų žmonių dalyvaus formalių organizacijų veikloje, sumanūs sprendimai bus priimamai atsižvelgiant ir į jaunimo  nuomonę, bus paskatinta savanorystė, įgyta verslumo įgūdžių,  pagerės projektuose dalyvavusių NVO teikiamų paslaugų kokybė. </v>
      </c>
      <c r="F23" s="747"/>
      <c r="G23" s="748"/>
    </row>
    <row r="24" spans="1:7" x14ac:dyDescent="0.3">
      <c r="A24" s="105" t="s">
        <v>947</v>
      </c>
      <c r="B24" s="365"/>
      <c r="C24" s="99" t="s">
        <v>537</v>
      </c>
      <c r="D24" s="100">
        <f>VLOOKUP(B23,'9'!$B$8:$D$27,3,FALSE)</f>
        <v>3</v>
      </c>
      <c r="E24" s="749"/>
      <c r="F24" s="750"/>
      <c r="G24" s="751"/>
    </row>
    <row r="25" spans="1:7" ht="28.8" x14ac:dyDescent="0.3">
      <c r="A25" s="105" t="s">
        <v>948</v>
      </c>
      <c r="B25" s="365"/>
      <c r="C25" s="23" t="s">
        <v>639</v>
      </c>
      <c r="D25" s="89" t="s">
        <v>1879</v>
      </c>
      <c r="E25" s="749"/>
      <c r="F25" s="750"/>
      <c r="G25" s="751"/>
    </row>
    <row r="26" spans="1:7" ht="28.8" x14ac:dyDescent="0.3">
      <c r="A26" s="105" t="s">
        <v>949</v>
      </c>
      <c r="B26" s="365"/>
      <c r="C26" s="28" t="s">
        <v>640</v>
      </c>
      <c r="D26" s="90" t="s">
        <v>1882</v>
      </c>
      <c r="E26" s="749"/>
      <c r="F26" s="750"/>
      <c r="G26" s="751"/>
    </row>
    <row r="27" spans="1:7" ht="28.8" x14ac:dyDescent="0.3">
      <c r="A27" s="105" t="s">
        <v>950</v>
      </c>
      <c r="B27" s="365"/>
      <c r="C27" s="26" t="s">
        <v>641</v>
      </c>
      <c r="D27" s="91" t="s">
        <v>1753</v>
      </c>
      <c r="E27" s="752"/>
      <c r="F27" s="753"/>
      <c r="G27" s="754"/>
    </row>
    <row r="28" spans="1:7" x14ac:dyDescent="0.3">
      <c r="A28" s="105" t="s">
        <v>951</v>
      </c>
      <c r="B28" s="365"/>
      <c r="C28" s="28" t="s">
        <v>366</v>
      </c>
      <c r="D28" s="92"/>
      <c r="G28" s="366"/>
    </row>
    <row r="29" spans="1:7" x14ac:dyDescent="0.3">
      <c r="A29" s="105" t="s">
        <v>952</v>
      </c>
      <c r="B29" s="365"/>
      <c r="C29" s="28" t="s">
        <v>367</v>
      </c>
      <c r="D29" s="92"/>
      <c r="G29" s="366"/>
    </row>
    <row r="30" spans="1:7" x14ac:dyDescent="0.3">
      <c r="A30" s="105" t="s">
        <v>953</v>
      </c>
      <c r="B30" s="367"/>
      <c r="C30" s="26" t="s">
        <v>368</v>
      </c>
      <c r="D30" s="93"/>
      <c r="E30" s="94"/>
      <c r="F30" s="94"/>
      <c r="G30" s="368"/>
    </row>
    <row r="31" spans="1:7" x14ac:dyDescent="0.3">
      <c r="A31" s="105" t="s">
        <v>954</v>
      </c>
      <c r="B31" s="364" t="s">
        <v>3</v>
      </c>
      <c r="C31" s="23" t="s">
        <v>20</v>
      </c>
      <c r="D31" s="98" t="str">
        <f>VLOOKUP(B31,'7'!$B$7:$C$26,2,FALSE)</f>
        <v>Potencialių pareiškėjų ir projektų vykdytojų mokymai</v>
      </c>
      <c r="E31" s="746" t="str">
        <f>HLOOKUP(B31,'10'!$D$6:$W$18,13,FALSE)</f>
        <v xml:space="preserve">Padidėjęs  gyventojų ekologinis, aplinkosauginis sąmoningumas; įvairių sektorių atstovai geba priimti bendrus sprendimus,  teikiami projektai inovatyvūs, juos įgyvedinant priimami tvarūs sprendimai. </v>
      </c>
      <c r="F31" s="747"/>
      <c r="G31" s="748"/>
    </row>
    <row r="32" spans="1:7" x14ac:dyDescent="0.3">
      <c r="A32" s="105" t="s">
        <v>955</v>
      </c>
      <c r="B32" s="365"/>
      <c r="C32" s="99" t="s">
        <v>537</v>
      </c>
      <c r="D32" s="100">
        <f>VLOOKUP(B31,'9'!$B$8:$D$27,3,FALSE)</f>
        <v>3</v>
      </c>
      <c r="E32" s="749"/>
      <c r="F32" s="750"/>
      <c r="G32" s="751"/>
    </row>
    <row r="33" spans="1:7" ht="28.8" x14ac:dyDescent="0.3">
      <c r="A33" s="105" t="s">
        <v>956</v>
      </c>
      <c r="B33" s="365"/>
      <c r="C33" s="23" t="s">
        <v>639</v>
      </c>
      <c r="D33" s="89" t="s">
        <v>1879</v>
      </c>
      <c r="E33" s="749"/>
      <c r="F33" s="750"/>
      <c r="G33" s="751"/>
    </row>
    <row r="34" spans="1:7" ht="28.8" x14ac:dyDescent="0.3">
      <c r="A34" s="105" t="s">
        <v>957</v>
      </c>
      <c r="B34" s="365"/>
      <c r="C34" s="28" t="s">
        <v>640</v>
      </c>
      <c r="D34" s="90" t="s">
        <v>1882</v>
      </c>
      <c r="E34" s="749"/>
      <c r="F34" s="750"/>
      <c r="G34" s="751"/>
    </row>
    <row r="35" spans="1:7" ht="28.8" x14ac:dyDescent="0.3">
      <c r="A35" s="105" t="s">
        <v>958</v>
      </c>
      <c r="B35" s="365"/>
      <c r="C35" s="26" t="s">
        <v>641</v>
      </c>
      <c r="D35" s="91" t="s">
        <v>1753</v>
      </c>
      <c r="E35" s="752"/>
      <c r="F35" s="753"/>
      <c r="G35" s="754"/>
    </row>
    <row r="36" spans="1:7" x14ac:dyDescent="0.3">
      <c r="A36" s="105" t="s">
        <v>959</v>
      </c>
      <c r="B36" s="365"/>
      <c r="C36" s="28" t="s">
        <v>366</v>
      </c>
      <c r="D36" s="92"/>
      <c r="G36" s="366"/>
    </row>
    <row r="37" spans="1:7" x14ac:dyDescent="0.3">
      <c r="A37" s="105" t="s">
        <v>960</v>
      </c>
      <c r="B37" s="365"/>
      <c r="C37" s="28" t="s">
        <v>367</v>
      </c>
      <c r="D37" s="92"/>
      <c r="G37" s="366"/>
    </row>
    <row r="38" spans="1:7" x14ac:dyDescent="0.3">
      <c r="A38" s="105" t="s">
        <v>961</v>
      </c>
      <c r="B38" s="367"/>
      <c r="C38" s="26" t="s">
        <v>368</v>
      </c>
      <c r="D38" s="93"/>
      <c r="E38" s="94"/>
      <c r="F38" s="94"/>
      <c r="G38" s="368"/>
    </row>
    <row r="39" spans="1:7" x14ac:dyDescent="0.3">
      <c r="A39" s="105" t="s">
        <v>962</v>
      </c>
      <c r="B39" s="364" t="s">
        <v>4</v>
      </c>
      <c r="C39" s="23" t="s">
        <v>20</v>
      </c>
      <c r="D39" s="98" t="str">
        <f>VLOOKUP(B39,'7'!$B$7:$C$26,2,FALSE)</f>
        <v>Skaitmeninių, informacinių, komunikacinių technologijų taikymas versle</v>
      </c>
      <c r="E39" s="746" t="str">
        <f>HLOOKUP(B39,'10'!$D$6:$W$18,13,FALSE)</f>
        <v>Paskatintas  naujų technologijų ir skaitmeninimo procesų diegimas ūkių veikloje,  inovatyvių ir tvarių sprendimų diegimas, užtikrinant išmanųjį ūkininkavimą, našumo žemės ūkyje didinimą bei tvarią plėtrą.</v>
      </c>
      <c r="F39" s="747"/>
      <c r="G39" s="748"/>
    </row>
    <row r="40" spans="1:7" x14ac:dyDescent="0.3">
      <c r="A40" s="105" t="s">
        <v>963</v>
      </c>
      <c r="B40" s="365"/>
      <c r="C40" s="99" t="s">
        <v>537</v>
      </c>
      <c r="D40" s="100">
        <f>VLOOKUP(B39,'9'!$B$8:$D$27,3,FALSE)</f>
        <v>3</v>
      </c>
      <c r="E40" s="749"/>
      <c r="F40" s="750"/>
      <c r="G40" s="751"/>
    </row>
    <row r="41" spans="1:7" ht="28.8" x14ac:dyDescent="0.3">
      <c r="A41" s="105" t="s">
        <v>964</v>
      </c>
      <c r="B41" s="365"/>
      <c r="C41" s="23" t="s">
        <v>639</v>
      </c>
      <c r="D41" s="89" t="s">
        <v>1882</v>
      </c>
      <c r="E41" s="749"/>
      <c r="F41" s="750"/>
      <c r="G41" s="751"/>
    </row>
    <row r="42" spans="1:7" ht="28.8" x14ac:dyDescent="0.3">
      <c r="A42" s="105" t="s">
        <v>965</v>
      </c>
      <c r="B42" s="365"/>
      <c r="C42" s="28" t="s">
        <v>640</v>
      </c>
      <c r="D42" s="90" t="s">
        <v>1753</v>
      </c>
      <c r="E42" s="749"/>
      <c r="F42" s="750"/>
      <c r="G42" s="751"/>
    </row>
    <row r="43" spans="1:7" ht="28.8" x14ac:dyDescent="0.3">
      <c r="A43" s="105" t="s">
        <v>966</v>
      </c>
      <c r="B43" s="365"/>
      <c r="C43" s="26" t="s">
        <v>641</v>
      </c>
      <c r="D43" s="91" t="s">
        <v>1881</v>
      </c>
      <c r="E43" s="752"/>
      <c r="F43" s="753"/>
      <c r="G43" s="754"/>
    </row>
    <row r="44" spans="1:7" x14ac:dyDescent="0.3">
      <c r="A44" s="105" t="s">
        <v>967</v>
      </c>
      <c r="B44" s="365"/>
      <c r="C44" s="28" t="s">
        <v>366</v>
      </c>
      <c r="D44" s="92"/>
      <c r="G44" s="366"/>
    </row>
    <row r="45" spans="1:7" x14ac:dyDescent="0.3">
      <c r="A45" s="105" t="s">
        <v>968</v>
      </c>
      <c r="B45" s="365"/>
      <c r="C45" s="28" t="s">
        <v>367</v>
      </c>
      <c r="D45" s="92"/>
      <c r="G45" s="366"/>
    </row>
    <row r="46" spans="1:7" x14ac:dyDescent="0.3">
      <c r="A46" s="105" t="s">
        <v>969</v>
      </c>
      <c r="B46" s="367"/>
      <c r="C46" s="26" t="s">
        <v>368</v>
      </c>
      <c r="D46" s="93"/>
      <c r="E46" s="94"/>
      <c r="F46" s="94"/>
      <c r="G46" s="368"/>
    </row>
    <row r="47" spans="1:7" x14ac:dyDescent="0.3">
      <c r="A47" s="105" t="s">
        <v>970</v>
      </c>
      <c r="B47" s="364" t="s">
        <v>5</v>
      </c>
      <c r="C47" s="23" t="s">
        <v>1107</v>
      </c>
      <c r="D47" s="98" t="str">
        <f>VLOOKUP(B47,'7'!$B$7:$C$26,2,FALSE)</f>
        <v>Vietos produktų /paslaugų kūrimas ir (ar) populiarinimas taikant inovacijas</v>
      </c>
      <c r="E47" s="746" t="str">
        <f>HLOOKUP(B47,'10'!$D$6:$W$18,13,FALSE)</f>
        <v xml:space="preserve">Paskatintas bendradarbiavimas  tarp ūkių, smulkaus verslo; Sustiprėję partnerystės ryšiai tarp vietos verslininkų: paslaugų teikėjų/produktų gamintyojų ir  turizmo verslo atstovų vystant skaitmenizavimą ir nuotolinį pardavimą; organizuojant maistop hgradnines. </v>
      </c>
      <c r="F47" s="747"/>
      <c r="G47" s="748"/>
    </row>
    <row r="48" spans="1:7" x14ac:dyDescent="0.3">
      <c r="A48" s="105" t="s">
        <v>971</v>
      </c>
      <c r="B48" s="365"/>
      <c r="C48" s="99" t="s">
        <v>537</v>
      </c>
      <c r="D48" s="100">
        <f>VLOOKUP(B47,'9'!$B$8:$D$27,3,FALSE)</f>
        <v>3</v>
      </c>
      <c r="E48" s="749"/>
      <c r="F48" s="750"/>
      <c r="G48" s="751"/>
    </row>
    <row r="49" spans="1:7" ht="28.8" x14ac:dyDescent="0.3">
      <c r="A49" s="105" t="s">
        <v>972</v>
      </c>
      <c r="B49" s="365"/>
      <c r="C49" s="23" t="s">
        <v>639</v>
      </c>
      <c r="D49" s="89" t="s">
        <v>1882</v>
      </c>
      <c r="E49" s="749"/>
      <c r="F49" s="750"/>
      <c r="G49" s="751"/>
    </row>
    <row r="50" spans="1:7" ht="28.8" x14ac:dyDescent="0.3">
      <c r="A50" s="105" t="s">
        <v>973</v>
      </c>
      <c r="B50" s="365"/>
      <c r="C50" s="28" t="s">
        <v>640</v>
      </c>
      <c r="D50" s="90" t="s">
        <v>1753</v>
      </c>
      <c r="E50" s="749"/>
      <c r="F50" s="750"/>
      <c r="G50" s="751"/>
    </row>
    <row r="51" spans="1:7" ht="28.8" x14ac:dyDescent="0.3">
      <c r="A51" s="105" t="s">
        <v>974</v>
      </c>
      <c r="B51" s="365"/>
      <c r="C51" s="26" t="s">
        <v>641</v>
      </c>
      <c r="D51" s="91" t="s">
        <v>1880</v>
      </c>
      <c r="E51" s="752"/>
      <c r="F51" s="753"/>
      <c r="G51" s="754"/>
    </row>
    <row r="52" spans="1:7" x14ac:dyDescent="0.3">
      <c r="A52" s="105" t="s">
        <v>975</v>
      </c>
      <c r="B52" s="365"/>
      <c r="C52" s="28" t="s">
        <v>366</v>
      </c>
      <c r="D52" s="92"/>
      <c r="G52" s="366"/>
    </row>
    <row r="53" spans="1:7" x14ac:dyDescent="0.3">
      <c r="A53" s="105" t="s">
        <v>976</v>
      </c>
      <c r="B53" s="365"/>
      <c r="C53" s="28" t="s">
        <v>367</v>
      </c>
      <c r="D53" s="92"/>
      <c r="G53" s="366"/>
    </row>
    <row r="54" spans="1:7" x14ac:dyDescent="0.3">
      <c r="A54" s="105" t="s">
        <v>977</v>
      </c>
      <c r="B54" s="367"/>
      <c r="C54" s="26" t="s">
        <v>368</v>
      </c>
      <c r="D54" s="93"/>
      <c r="E54" s="94"/>
      <c r="F54" s="94"/>
      <c r="G54" s="368"/>
    </row>
    <row r="55" spans="1:7" x14ac:dyDescent="0.3">
      <c r="A55" s="105" t="s">
        <v>978</v>
      </c>
      <c r="B55" s="364" t="s">
        <v>6</v>
      </c>
      <c r="C55" s="23" t="s">
        <v>20</v>
      </c>
      <c r="D55" s="98" t="str">
        <f>VLOOKUP(B55,'7'!$B$7:$C$26,2,FALSE)</f>
        <v>Paslaugų įvairinimas/kūrimas, stiprinant materialinę bazę ir (ar) kompetencijas</v>
      </c>
      <c r="E55" s="746" t="str">
        <f>HLOOKUP(B55,'10'!$D$6:$W$18,13,FALSE)</f>
        <v xml:space="preserve"> Išaugęs paslaugų skaičius (ne mažiau kaip 4 naujos paslaugos) </v>
      </c>
      <c r="F55" s="747"/>
      <c r="G55" s="748"/>
    </row>
    <row r="56" spans="1:7" x14ac:dyDescent="0.3">
      <c r="A56" s="105" t="s">
        <v>979</v>
      </c>
      <c r="B56" s="365"/>
      <c r="C56" s="99" t="s">
        <v>537</v>
      </c>
      <c r="D56" s="100">
        <f>VLOOKUP(B55,'9'!$B$8:$D$27,3,FALSE)</f>
        <v>3</v>
      </c>
      <c r="E56" s="749"/>
      <c r="F56" s="750"/>
      <c r="G56" s="751"/>
    </row>
    <row r="57" spans="1:7" ht="28.8" x14ac:dyDescent="0.3">
      <c r="A57" s="105" t="s">
        <v>980</v>
      </c>
      <c r="B57" s="365"/>
      <c r="C57" s="23" t="s">
        <v>639</v>
      </c>
      <c r="D57" s="89" t="s">
        <v>1753</v>
      </c>
      <c r="E57" s="749"/>
      <c r="F57" s="750"/>
      <c r="G57" s="751"/>
    </row>
    <row r="58" spans="1:7" ht="28.8" x14ac:dyDescent="0.3">
      <c r="A58" s="105" t="s">
        <v>981</v>
      </c>
      <c r="B58" s="365"/>
      <c r="C58" s="28" t="s">
        <v>640</v>
      </c>
      <c r="D58" s="90" t="s">
        <v>1753</v>
      </c>
      <c r="E58" s="749"/>
      <c r="F58" s="750"/>
      <c r="G58" s="751"/>
    </row>
    <row r="59" spans="1:7" ht="28.8" x14ac:dyDescent="0.3">
      <c r="A59" s="105" t="s">
        <v>982</v>
      </c>
      <c r="B59" s="365"/>
      <c r="C59" s="26" t="s">
        <v>641</v>
      </c>
      <c r="D59" s="91" t="s">
        <v>1881</v>
      </c>
      <c r="E59" s="752"/>
      <c r="F59" s="753"/>
      <c r="G59" s="754"/>
    </row>
    <row r="60" spans="1:7" x14ac:dyDescent="0.3">
      <c r="A60" s="105" t="s">
        <v>983</v>
      </c>
      <c r="B60" s="365"/>
      <c r="C60" s="28" t="s">
        <v>366</v>
      </c>
      <c r="D60" s="92"/>
      <c r="G60" s="366"/>
    </row>
    <row r="61" spans="1:7" x14ac:dyDescent="0.3">
      <c r="A61" s="105" t="s">
        <v>984</v>
      </c>
      <c r="B61" s="365"/>
      <c r="C61" s="28" t="s">
        <v>367</v>
      </c>
      <c r="D61" s="92"/>
      <c r="G61" s="366"/>
    </row>
    <row r="62" spans="1:7" x14ac:dyDescent="0.3">
      <c r="A62" s="105" t="s">
        <v>985</v>
      </c>
      <c r="B62" s="367"/>
      <c r="C62" s="26" t="s">
        <v>368</v>
      </c>
      <c r="D62" s="93"/>
      <c r="E62" s="94"/>
      <c r="F62" s="94"/>
      <c r="G62" s="368"/>
    </row>
    <row r="63" spans="1:7" ht="28.8" x14ac:dyDescent="0.3">
      <c r="A63" s="105" t="s">
        <v>986</v>
      </c>
      <c r="B63" s="364" t="s">
        <v>7</v>
      </c>
      <c r="C63" s="23" t="s">
        <v>20</v>
      </c>
      <c r="D63" s="98" t="str">
        <f>VLOOKUP(B63,'7'!$B$7:$C$26,2,FALSE)</f>
        <v xml:space="preserve">Vietos gyventojų socialinio aktyvumo bei verslumo skatinimas įtraukiant pažeidžiamas grupes </v>
      </c>
      <c r="E63" s="746" t="str">
        <f>HLOOKUP(B63,'10'!$D$6:$W$18,13,FALSE)</f>
        <v xml:space="preserve"> Sudarytos prielaidos integruoti pažeidžiamas gyventojų grupes į visuomenę, teikti kompleksiškas, individualius poreikius atitinkančias paslaugas bendruomenėje ar šeimoje, įtrauktas jaunimas skatinant savanorystę. </v>
      </c>
      <c r="F63" s="747"/>
      <c r="G63" s="748"/>
    </row>
    <row r="64" spans="1:7" x14ac:dyDescent="0.3">
      <c r="A64" s="105" t="s">
        <v>987</v>
      </c>
      <c r="B64" s="365"/>
      <c r="C64" s="99" t="s">
        <v>537</v>
      </c>
      <c r="D64" s="100">
        <f>VLOOKUP(B63,'9'!$B$8:$D$27,3,FALSE)</f>
        <v>3</v>
      </c>
      <c r="E64" s="749"/>
      <c r="F64" s="750"/>
      <c r="G64" s="751"/>
    </row>
    <row r="65" spans="1:7" ht="28.8" x14ac:dyDescent="0.3">
      <c r="A65" s="105" t="s">
        <v>988</v>
      </c>
      <c r="B65" s="365"/>
      <c r="C65" s="23" t="s">
        <v>639</v>
      </c>
      <c r="D65" s="89" t="s">
        <v>1753</v>
      </c>
      <c r="E65" s="749"/>
      <c r="F65" s="750"/>
      <c r="G65" s="751"/>
    </row>
    <row r="66" spans="1:7" ht="28.8" x14ac:dyDescent="0.3">
      <c r="A66" s="105" t="s">
        <v>989</v>
      </c>
      <c r="B66" s="365"/>
      <c r="C66" s="28" t="s">
        <v>640</v>
      </c>
      <c r="D66" s="90" t="s">
        <v>1880</v>
      </c>
      <c r="E66" s="749"/>
      <c r="F66" s="750"/>
      <c r="G66" s="751"/>
    </row>
    <row r="67" spans="1:7" ht="28.8" x14ac:dyDescent="0.3">
      <c r="A67" s="105" t="s">
        <v>990</v>
      </c>
      <c r="B67" s="365"/>
      <c r="C67" s="26" t="s">
        <v>641</v>
      </c>
      <c r="D67" s="91" t="s">
        <v>1881</v>
      </c>
      <c r="E67" s="752"/>
      <c r="F67" s="753"/>
      <c r="G67" s="754"/>
    </row>
    <row r="68" spans="1:7" x14ac:dyDescent="0.3">
      <c r="A68" s="105" t="s">
        <v>991</v>
      </c>
      <c r="B68" s="365"/>
      <c r="C68" s="28" t="s">
        <v>366</v>
      </c>
      <c r="D68" s="92"/>
      <c r="G68" s="366"/>
    </row>
    <row r="69" spans="1:7" x14ac:dyDescent="0.3">
      <c r="A69" s="105" t="s">
        <v>992</v>
      </c>
      <c r="B69" s="365"/>
      <c r="C69" s="28" t="s">
        <v>367</v>
      </c>
      <c r="D69" s="92"/>
      <c r="G69" s="366"/>
    </row>
    <row r="70" spans="1:7" x14ac:dyDescent="0.3">
      <c r="A70" s="105" t="s">
        <v>993</v>
      </c>
      <c r="B70" s="367"/>
      <c r="C70" s="26" t="s">
        <v>368</v>
      </c>
      <c r="D70" s="93"/>
      <c r="E70" s="94"/>
      <c r="F70" s="94"/>
      <c r="G70" s="368"/>
    </row>
    <row r="71" spans="1:7" x14ac:dyDescent="0.3">
      <c r="A71" s="105" t="s">
        <v>994</v>
      </c>
      <c r="B71" s="364" t="s">
        <v>8</v>
      </c>
      <c r="C71" s="23" t="s">
        <v>20</v>
      </c>
      <c r="D71" s="98" t="str">
        <f>VLOOKUP(B71,'7'!$B$7:$C$26,2,FALSE)</f>
        <v>Bendruomeninio verslo kūrimas skatinant savanorystę</v>
      </c>
      <c r="E71" s="746" t="str">
        <f>HLOOKUP(B71,'10'!$D$6:$W$18,13,FALSE)</f>
        <v xml:space="preserve">Padidėjęs NVO sektoriaus verslumas, gebėjimas pasirūpinti savo bendruomenės nariais; paskatinta sektorių partnerystė; sukurta nauja paslauga pritaikant bent vieną  inovaciją; suaktyvinta savanorystė.
</v>
      </c>
      <c r="F71" s="747"/>
      <c r="G71" s="748"/>
    </row>
    <row r="72" spans="1:7" x14ac:dyDescent="0.3">
      <c r="A72" s="105" t="s">
        <v>995</v>
      </c>
      <c r="B72" s="365"/>
      <c r="C72" s="99" t="s">
        <v>537</v>
      </c>
      <c r="D72" s="100">
        <f>VLOOKUP(B71,'9'!$B$8:$D$27,3,FALSE)</f>
        <v>2</v>
      </c>
      <c r="E72" s="749"/>
      <c r="F72" s="750"/>
      <c r="G72" s="751"/>
    </row>
    <row r="73" spans="1:7" ht="28.8" x14ac:dyDescent="0.3">
      <c r="A73" s="105" t="s">
        <v>996</v>
      </c>
      <c r="B73" s="365"/>
      <c r="C73" s="23" t="s">
        <v>639</v>
      </c>
      <c r="D73" s="89" t="s">
        <v>1753</v>
      </c>
      <c r="E73" s="749"/>
      <c r="F73" s="750"/>
      <c r="G73" s="751"/>
    </row>
    <row r="74" spans="1:7" ht="28.8" x14ac:dyDescent="0.3">
      <c r="A74" s="105" t="s">
        <v>997</v>
      </c>
      <c r="B74" s="365"/>
      <c r="C74" s="28" t="s">
        <v>640</v>
      </c>
      <c r="D74" s="90" t="s">
        <v>1881</v>
      </c>
      <c r="E74" s="749"/>
      <c r="F74" s="750"/>
      <c r="G74" s="751"/>
    </row>
    <row r="75" spans="1:7" x14ac:dyDescent="0.3">
      <c r="A75" s="105" t="s">
        <v>998</v>
      </c>
      <c r="B75" s="365"/>
      <c r="C75" s="26" t="s">
        <v>641</v>
      </c>
      <c r="D75" s="91"/>
      <c r="E75" s="752"/>
      <c r="F75" s="753"/>
      <c r="G75" s="754"/>
    </row>
    <row r="76" spans="1:7" x14ac:dyDescent="0.3">
      <c r="A76" s="105" t="s">
        <v>999</v>
      </c>
      <c r="B76" s="365"/>
      <c r="C76" s="28" t="s">
        <v>366</v>
      </c>
      <c r="D76" s="92"/>
      <c r="G76" s="366"/>
    </row>
    <row r="77" spans="1:7" x14ac:dyDescent="0.3">
      <c r="A77" s="105" t="s">
        <v>1000</v>
      </c>
      <c r="B77" s="365"/>
      <c r="C77" s="28" t="s">
        <v>367</v>
      </c>
      <c r="D77" s="92"/>
      <c r="G77" s="366"/>
    </row>
    <row r="78" spans="1:7" x14ac:dyDescent="0.3">
      <c r="A78" s="105" t="s">
        <v>1001</v>
      </c>
      <c r="B78" s="367"/>
      <c r="C78" s="26" t="s">
        <v>368</v>
      </c>
      <c r="D78" s="93"/>
      <c r="E78" s="94"/>
      <c r="F78" s="94"/>
      <c r="G78" s="368"/>
    </row>
    <row r="79" spans="1:7" x14ac:dyDescent="0.3">
      <c r="A79" s="105" t="s">
        <v>1002</v>
      </c>
      <c r="B79" s="364" t="s">
        <v>9</v>
      </c>
      <c r="C79" s="23" t="s">
        <v>20</v>
      </c>
      <c r="D79" s="98" t="str">
        <f>VLOOKUP(B79,'7'!$B$7:$C$26,2,FALSE)</f>
        <v>Tarptautinis, teritorinis bendradarbiavimas</v>
      </c>
      <c r="E79" s="746">
        <f>HLOOKUP(B79,'10'!$D$6:$W$18,13,FALSE)</f>
        <v>0</v>
      </c>
      <c r="F79" s="747"/>
      <c r="G79" s="748"/>
    </row>
    <row r="80" spans="1:7" x14ac:dyDescent="0.3">
      <c r="A80" s="105" t="s">
        <v>1003</v>
      </c>
      <c r="B80" s="365"/>
      <c r="C80" s="99" t="s">
        <v>537</v>
      </c>
      <c r="D80" s="100">
        <f>VLOOKUP(B79,'9'!$B$8:$D$27,3,FALSE)</f>
        <v>2</v>
      </c>
      <c r="E80" s="749"/>
      <c r="F80" s="750"/>
      <c r="G80" s="751"/>
    </row>
    <row r="81" spans="1:7" ht="28.8" x14ac:dyDescent="0.3">
      <c r="A81" s="105" t="s">
        <v>1004</v>
      </c>
      <c r="B81" s="365"/>
      <c r="C81" s="23" t="s">
        <v>639</v>
      </c>
      <c r="D81" s="89" t="s">
        <v>1753</v>
      </c>
      <c r="E81" s="749"/>
      <c r="F81" s="750"/>
      <c r="G81" s="751"/>
    </row>
    <row r="82" spans="1:7" ht="28.8" x14ac:dyDescent="0.3">
      <c r="A82" s="105" t="s">
        <v>1005</v>
      </c>
      <c r="B82" s="365"/>
      <c r="C82" s="28" t="s">
        <v>640</v>
      </c>
      <c r="D82" s="90" t="s">
        <v>1880</v>
      </c>
      <c r="E82" s="749"/>
      <c r="F82" s="750"/>
      <c r="G82" s="751"/>
    </row>
    <row r="83" spans="1:7" x14ac:dyDescent="0.3">
      <c r="A83" s="105" t="s">
        <v>1006</v>
      </c>
      <c r="B83" s="365"/>
      <c r="C83" s="26" t="s">
        <v>641</v>
      </c>
      <c r="D83" s="91"/>
      <c r="E83" s="752"/>
      <c r="F83" s="753"/>
      <c r="G83" s="754"/>
    </row>
    <row r="84" spans="1:7" x14ac:dyDescent="0.3">
      <c r="A84" s="105" t="s">
        <v>1007</v>
      </c>
      <c r="B84" s="365"/>
      <c r="C84" s="28" t="s">
        <v>366</v>
      </c>
      <c r="D84" s="92"/>
      <c r="G84" s="366"/>
    </row>
    <row r="85" spans="1:7" x14ac:dyDescent="0.3">
      <c r="A85" s="105" t="s">
        <v>1008</v>
      </c>
      <c r="B85" s="365"/>
      <c r="C85" s="28" t="s">
        <v>367</v>
      </c>
      <c r="D85" s="92"/>
      <c r="G85" s="366"/>
    </row>
    <row r="86" spans="1:7" x14ac:dyDescent="0.3">
      <c r="A86" s="105" t="s">
        <v>1009</v>
      </c>
      <c r="B86" s="367"/>
      <c r="C86" s="26" t="s">
        <v>368</v>
      </c>
      <c r="D86" s="93"/>
      <c r="E86" s="94"/>
      <c r="F86" s="94"/>
      <c r="G86" s="368"/>
    </row>
    <row r="87" spans="1:7" x14ac:dyDescent="0.3">
      <c r="A87" s="105" t="s">
        <v>1010</v>
      </c>
      <c r="B87" s="364" t="s">
        <v>43</v>
      </c>
      <c r="C87" s="23" t="s">
        <v>20</v>
      </c>
      <c r="D87" s="98">
        <f>VLOOKUP(B87,'7'!$B$7:$C$26,2,FALSE)</f>
        <v>0</v>
      </c>
      <c r="E87" s="746">
        <f>HLOOKUP(B87,'10'!$D$6:$W$18,13,FALSE)</f>
        <v>0</v>
      </c>
      <c r="F87" s="747"/>
      <c r="G87" s="748"/>
    </row>
    <row r="88" spans="1:7" x14ac:dyDescent="0.3">
      <c r="A88" s="105" t="s">
        <v>1011</v>
      </c>
      <c r="B88" s="365"/>
      <c r="C88" s="99" t="s">
        <v>537</v>
      </c>
      <c r="D88" s="100">
        <f>VLOOKUP(B87,'9'!$B$8:$D$27,3,FALSE)</f>
        <v>0</v>
      </c>
      <c r="E88" s="749"/>
      <c r="F88" s="750"/>
      <c r="G88" s="751"/>
    </row>
    <row r="89" spans="1:7" x14ac:dyDescent="0.3">
      <c r="A89" s="105" t="s">
        <v>1012</v>
      </c>
      <c r="B89" s="365"/>
      <c r="C89" s="23" t="s">
        <v>639</v>
      </c>
      <c r="D89" s="89"/>
      <c r="E89" s="749"/>
      <c r="F89" s="750"/>
      <c r="G89" s="751"/>
    </row>
    <row r="90" spans="1:7" x14ac:dyDescent="0.3">
      <c r="A90" s="105" t="s">
        <v>1013</v>
      </c>
      <c r="B90" s="365"/>
      <c r="C90" s="28" t="s">
        <v>640</v>
      </c>
      <c r="D90" s="90"/>
      <c r="E90" s="749"/>
      <c r="F90" s="750"/>
      <c r="G90" s="751"/>
    </row>
    <row r="91" spans="1:7" x14ac:dyDescent="0.3">
      <c r="A91" s="105" t="s">
        <v>1014</v>
      </c>
      <c r="B91" s="365"/>
      <c r="C91" s="26" t="s">
        <v>641</v>
      </c>
      <c r="D91" s="91"/>
      <c r="E91" s="752"/>
      <c r="F91" s="753"/>
      <c r="G91" s="754"/>
    </row>
    <row r="92" spans="1:7" x14ac:dyDescent="0.3">
      <c r="A92" s="105" t="s">
        <v>1015</v>
      </c>
      <c r="B92" s="365"/>
      <c r="C92" s="28" t="s">
        <v>366</v>
      </c>
      <c r="D92" s="92"/>
      <c r="G92" s="366"/>
    </row>
    <row r="93" spans="1:7" x14ac:dyDescent="0.3">
      <c r="A93" s="105" t="s">
        <v>1016</v>
      </c>
      <c r="B93" s="365"/>
      <c r="C93" s="28" t="s">
        <v>367</v>
      </c>
      <c r="D93" s="92"/>
      <c r="G93" s="366"/>
    </row>
    <row r="94" spans="1:7" x14ac:dyDescent="0.3">
      <c r="A94" s="105" t="s">
        <v>1017</v>
      </c>
      <c r="B94" s="367"/>
      <c r="C94" s="26" t="s">
        <v>368</v>
      </c>
      <c r="D94" s="93"/>
      <c r="E94" s="94"/>
      <c r="F94" s="94"/>
      <c r="G94" s="368"/>
    </row>
    <row r="95" spans="1:7" x14ac:dyDescent="0.3">
      <c r="A95" s="105" t="s">
        <v>1018</v>
      </c>
      <c r="B95" s="364" t="s">
        <v>44</v>
      </c>
      <c r="C95" s="23" t="s">
        <v>20</v>
      </c>
      <c r="D95" s="98">
        <f>VLOOKUP(B95,'7'!$B$7:$C$26,2,FALSE)</f>
        <v>0</v>
      </c>
      <c r="E95" s="746">
        <f>HLOOKUP(B95,'10'!$D$6:$W$18,13,FALSE)</f>
        <v>0</v>
      </c>
      <c r="F95" s="747"/>
      <c r="G95" s="748"/>
    </row>
    <row r="96" spans="1:7" x14ac:dyDescent="0.3">
      <c r="A96" s="105" t="s">
        <v>1019</v>
      </c>
      <c r="B96" s="365"/>
      <c r="C96" s="99" t="s">
        <v>537</v>
      </c>
      <c r="D96" s="100">
        <f>VLOOKUP(B95,'9'!$B$8:$D$27,3,FALSE)</f>
        <v>0</v>
      </c>
      <c r="E96" s="749"/>
      <c r="F96" s="750"/>
      <c r="G96" s="751"/>
    </row>
    <row r="97" spans="1:7" x14ac:dyDescent="0.3">
      <c r="A97" s="105" t="s">
        <v>1020</v>
      </c>
      <c r="B97" s="365"/>
      <c r="C97" s="23" t="s">
        <v>639</v>
      </c>
      <c r="D97" s="89"/>
      <c r="E97" s="749"/>
      <c r="F97" s="750"/>
      <c r="G97" s="751"/>
    </row>
    <row r="98" spans="1:7" x14ac:dyDescent="0.3">
      <c r="A98" s="105" t="s">
        <v>1021</v>
      </c>
      <c r="B98" s="365"/>
      <c r="C98" s="28" t="s">
        <v>640</v>
      </c>
      <c r="D98" s="90"/>
      <c r="E98" s="749"/>
      <c r="F98" s="750"/>
      <c r="G98" s="751"/>
    </row>
    <row r="99" spans="1:7" x14ac:dyDescent="0.3">
      <c r="A99" s="105" t="s">
        <v>1022</v>
      </c>
      <c r="B99" s="365"/>
      <c r="C99" s="26" t="s">
        <v>641</v>
      </c>
      <c r="D99" s="91"/>
      <c r="E99" s="752"/>
      <c r="F99" s="753"/>
      <c r="G99" s="754"/>
    </row>
    <row r="100" spans="1:7" x14ac:dyDescent="0.3">
      <c r="A100" s="105" t="s">
        <v>1023</v>
      </c>
      <c r="B100" s="365"/>
      <c r="C100" s="28" t="s">
        <v>366</v>
      </c>
      <c r="D100" s="92"/>
      <c r="G100" s="366"/>
    </row>
    <row r="101" spans="1:7" x14ac:dyDescent="0.3">
      <c r="A101" s="105" t="s">
        <v>1024</v>
      </c>
      <c r="B101" s="365"/>
      <c r="C101" s="28" t="s">
        <v>367</v>
      </c>
      <c r="D101" s="92"/>
      <c r="G101" s="366"/>
    </row>
    <row r="102" spans="1:7" x14ac:dyDescent="0.3">
      <c r="A102" s="105" t="s">
        <v>1025</v>
      </c>
      <c r="B102" s="367"/>
      <c r="C102" s="26" t="s">
        <v>368</v>
      </c>
      <c r="D102" s="93"/>
      <c r="E102" s="94"/>
      <c r="F102" s="94"/>
      <c r="G102" s="368"/>
    </row>
    <row r="103" spans="1:7" x14ac:dyDescent="0.3">
      <c r="A103" s="105" t="s">
        <v>1026</v>
      </c>
      <c r="B103" s="364" t="s">
        <v>45</v>
      </c>
      <c r="C103" s="23" t="s">
        <v>20</v>
      </c>
      <c r="D103" s="98">
        <f>VLOOKUP(B103,'7'!$B$7:$C$26,2,FALSE)</f>
        <v>0</v>
      </c>
      <c r="E103" s="746">
        <f>HLOOKUP(B103,'10'!$D$6:$W$18,13,FALSE)</f>
        <v>0</v>
      </c>
      <c r="F103" s="747"/>
      <c r="G103" s="748"/>
    </row>
    <row r="104" spans="1:7" x14ac:dyDescent="0.3">
      <c r="A104" s="105" t="s">
        <v>1027</v>
      </c>
      <c r="B104" s="365"/>
      <c r="C104" s="99" t="s">
        <v>537</v>
      </c>
      <c r="D104" s="100">
        <f>VLOOKUP(B103,'9'!$B$8:$D$27,3,FALSE)</f>
        <v>0</v>
      </c>
      <c r="E104" s="749"/>
      <c r="F104" s="750"/>
      <c r="G104" s="751"/>
    </row>
    <row r="105" spans="1:7" x14ac:dyDescent="0.3">
      <c r="A105" s="105" t="s">
        <v>1028</v>
      </c>
      <c r="B105" s="365"/>
      <c r="C105" s="23" t="s">
        <v>639</v>
      </c>
      <c r="D105" s="89"/>
      <c r="E105" s="749"/>
      <c r="F105" s="750"/>
      <c r="G105" s="751"/>
    </row>
    <row r="106" spans="1:7" x14ac:dyDescent="0.3">
      <c r="A106" s="105" t="s">
        <v>1029</v>
      </c>
      <c r="B106" s="365"/>
      <c r="C106" s="28" t="s">
        <v>640</v>
      </c>
      <c r="D106" s="90"/>
      <c r="E106" s="749"/>
      <c r="F106" s="750"/>
      <c r="G106" s="751"/>
    </row>
    <row r="107" spans="1:7" x14ac:dyDescent="0.3">
      <c r="A107" s="105" t="s">
        <v>1030</v>
      </c>
      <c r="B107" s="365"/>
      <c r="C107" s="26" t="s">
        <v>641</v>
      </c>
      <c r="D107" s="91"/>
      <c r="E107" s="752"/>
      <c r="F107" s="753"/>
      <c r="G107" s="754"/>
    </row>
    <row r="108" spans="1:7" x14ac:dyDescent="0.3">
      <c r="A108" s="105" t="s">
        <v>1031</v>
      </c>
      <c r="B108" s="365"/>
      <c r="C108" s="28" t="s">
        <v>366</v>
      </c>
      <c r="D108" s="92"/>
      <c r="G108" s="366"/>
    </row>
    <row r="109" spans="1:7" x14ac:dyDescent="0.3">
      <c r="A109" s="105" t="s">
        <v>1032</v>
      </c>
      <c r="B109" s="365"/>
      <c r="C109" s="28" t="s">
        <v>367</v>
      </c>
      <c r="D109" s="92"/>
      <c r="G109" s="366"/>
    </row>
    <row r="110" spans="1:7" x14ac:dyDescent="0.3">
      <c r="A110" s="105" t="s">
        <v>1033</v>
      </c>
      <c r="B110" s="367"/>
      <c r="C110" s="26" t="s">
        <v>368</v>
      </c>
      <c r="D110" s="93"/>
      <c r="E110" s="94"/>
      <c r="F110" s="94"/>
      <c r="G110" s="368"/>
    </row>
    <row r="111" spans="1:7" x14ac:dyDescent="0.3">
      <c r="A111" s="105" t="s">
        <v>1034</v>
      </c>
      <c r="B111" s="364" t="s">
        <v>46</v>
      </c>
      <c r="C111" s="23" t="s">
        <v>20</v>
      </c>
      <c r="D111" s="98">
        <f>VLOOKUP(B111,'7'!$B$7:$C$26,2,FALSE)</f>
        <v>0</v>
      </c>
      <c r="E111" s="746">
        <f>HLOOKUP(B111,'10'!$D$6:$W$18,13,FALSE)</f>
        <v>0</v>
      </c>
      <c r="F111" s="747"/>
      <c r="G111" s="748"/>
    </row>
    <row r="112" spans="1:7" x14ac:dyDescent="0.3">
      <c r="A112" s="105" t="s">
        <v>1035</v>
      </c>
      <c r="B112" s="365"/>
      <c r="C112" s="99" t="s">
        <v>537</v>
      </c>
      <c r="D112" s="100">
        <f>VLOOKUP(B111,'9'!$B$8:$D$27,3,FALSE)</f>
        <v>0</v>
      </c>
      <c r="E112" s="749"/>
      <c r="F112" s="750"/>
      <c r="G112" s="751"/>
    </row>
    <row r="113" spans="1:7" x14ac:dyDescent="0.3">
      <c r="A113" s="105" t="s">
        <v>1036</v>
      </c>
      <c r="B113" s="365"/>
      <c r="C113" s="23" t="s">
        <v>639</v>
      </c>
      <c r="D113" s="89"/>
      <c r="E113" s="749"/>
      <c r="F113" s="750"/>
      <c r="G113" s="751"/>
    </row>
    <row r="114" spans="1:7" x14ac:dyDescent="0.3">
      <c r="A114" s="105" t="s">
        <v>1037</v>
      </c>
      <c r="B114" s="365"/>
      <c r="C114" s="28" t="s">
        <v>640</v>
      </c>
      <c r="D114" s="90"/>
      <c r="E114" s="749"/>
      <c r="F114" s="750"/>
      <c r="G114" s="751"/>
    </row>
    <row r="115" spans="1:7" x14ac:dyDescent="0.3">
      <c r="A115" s="105" t="s">
        <v>1038</v>
      </c>
      <c r="B115" s="365"/>
      <c r="C115" s="26" t="s">
        <v>641</v>
      </c>
      <c r="D115" s="91"/>
      <c r="E115" s="752"/>
      <c r="F115" s="753"/>
      <c r="G115" s="754"/>
    </row>
    <row r="116" spans="1:7" x14ac:dyDescent="0.3">
      <c r="A116" s="105" t="s">
        <v>1039</v>
      </c>
      <c r="B116" s="365"/>
      <c r="C116" s="28" t="s">
        <v>366</v>
      </c>
      <c r="D116" s="92"/>
      <c r="G116" s="366"/>
    </row>
    <row r="117" spans="1:7" x14ac:dyDescent="0.3">
      <c r="A117" s="105" t="s">
        <v>1040</v>
      </c>
      <c r="B117" s="365"/>
      <c r="C117" s="28" t="s">
        <v>367</v>
      </c>
      <c r="D117" s="92"/>
      <c r="G117" s="366"/>
    </row>
    <row r="118" spans="1:7" x14ac:dyDescent="0.3">
      <c r="A118" s="105" t="s">
        <v>1041</v>
      </c>
      <c r="B118" s="367"/>
      <c r="C118" s="26" t="s">
        <v>368</v>
      </c>
      <c r="D118" s="93"/>
      <c r="E118" s="94"/>
      <c r="F118" s="94"/>
      <c r="G118" s="368"/>
    </row>
    <row r="119" spans="1:7" x14ac:dyDescent="0.3">
      <c r="A119" s="105" t="s">
        <v>1042</v>
      </c>
      <c r="B119" s="364" t="s">
        <v>47</v>
      </c>
      <c r="C119" s="23" t="s">
        <v>20</v>
      </c>
      <c r="D119" s="98">
        <f>VLOOKUP(B119,'7'!$B$7:$C$26,2,FALSE)</f>
        <v>0</v>
      </c>
      <c r="E119" s="746">
        <f>HLOOKUP(B119,'10'!$D$6:$W$18,13,FALSE)</f>
        <v>0</v>
      </c>
      <c r="F119" s="747"/>
      <c r="G119" s="748"/>
    </row>
    <row r="120" spans="1:7" x14ac:dyDescent="0.3">
      <c r="A120" s="105" t="s">
        <v>1043</v>
      </c>
      <c r="B120" s="365"/>
      <c r="C120" s="99" t="s">
        <v>537</v>
      </c>
      <c r="D120" s="100">
        <f>VLOOKUP(B119,'9'!$B$8:$D$27,3,FALSE)</f>
        <v>0</v>
      </c>
      <c r="E120" s="749"/>
      <c r="F120" s="750"/>
      <c r="G120" s="751"/>
    </row>
    <row r="121" spans="1:7" x14ac:dyDescent="0.3">
      <c r="A121" s="105" t="s">
        <v>1044</v>
      </c>
      <c r="B121" s="365"/>
      <c r="C121" s="23" t="s">
        <v>639</v>
      </c>
      <c r="D121" s="89"/>
      <c r="E121" s="749"/>
      <c r="F121" s="750"/>
      <c r="G121" s="751"/>
    </row>
    <row r="122" spans="1:7" x14ac:dyDescent="0.3">
      <c r="A122" s="105" t="s">
        <v>1045</v>
      </c>
      <c r="B122" s="365"/>
      <c r="C122" s="28" t="s">
        <v>640</v>
      </c>
      <c r="D122" s="90"/>
      <c r="E122" s="749"/>
      <c r="F122" s="750"/>
      <c r="G122" s="751"/>
    </row>
    <row r="123" spans="1:7" x14ac:dyDescent="0.3">
      <c r="A123" s="105" t="s">
        <v>1046</v>
      </c>
      <c r="B123" s="365"/>
      <c r="C123" s="26" t="s">
        <v>641</v>
      </c>
      <c r="D123" s="91"/>
      <c r="E123" s="752"/>
      <c r="F123" s="753"/>
      <c r="G123" s="754"/>
    </row>
    <row r="124" spans="1:7" x14ac:dyDescent="0.3">
      <c r="A124" s="105" t="s">
        <v>1047</v>
      </c>
      <c r="B124" s="365"/>
      <c r="C124" s="28" t="s">
        <v>366</v>
      </c>
      <c r="D124" s="92"/>
      <c r="G124" s="366"/>
    </row>
    <row r="125" spans="1:7" x14ac:dyDescent="0.3">
      <c r="A125" s="105" t="s">
        <v>1048</v>
      </c>
      <c r="B125" s="365"/>
      <c r="C125" s="28" t="s">
        <v>367</v>
      </c>
      <c r="D125" s="92"/>
      <c r="G125" s="366"/>
    </row>
    <row r="126" spans="1:7" x14ac:dyDescent="0.3">
      <c r="A126" s="105" t="s">
        <v>1049</v>
      </c>
      <c r="B126" s="367"/>
      <c r="C126" s="26" t="s">
        <v>368</v>
      </c>
      <c r="D126" s="93"/>
      <c r="E126" s="94"/>
      <c r="F126" s="94"/>
      <c r="G126" s="368"/>
    </row>
    <row r="127" spans="1:7" x14ac:dyDescent="0.3">
      <c r="A127" s="105" t="s">
        <v>1050</v>
      </c>
      <c r="B127" s="364" t="s">
        <v>48</v>
      </c>
      <c r="C127" s="23" t="s">
        <v>20</v>
      </c>
      <c r="D127" s="98">
        <f>VLOOKUP(B127,'7'!$B$7:$C$26,2,FALSE)</f>
        <v>0</v>
      </c>
      <c r="E127" s="746">
        <f>HLOOKUP(B127,'10'!$D$6:$W$18,13,FALSE)</f>
        <v>0</v>
      </c>
      <c r="F127" s="747"/>
      <c r="G127" s="748"/>
    </row>
    <row r="128" spans="1:7" x14ac:dyDescent="0.3">
      <c r="A128" s="105" t="s">
        <v>1051</v>
      </c>
      <c r="B128" s="365"/>
      <c r="C128" s="99" t="s">
        <v>537</v>
      </c>
      <c r="D128" s="100">
        <f>VLOOKUP(B127,'9'!$B$8:$D$27,3,FALSE)</f>
        <v>0</v>
      </c>
      <c r="E128" s="749"/>
      <c r="F128" s="750"/>
      <c r="G128" s="751"/>
    </row>
    <row r="129" spans="1:7" x14ac:dyDescent="0.3">
      <c r="A129" s="105" t="s">
        <v>1052</v>
      </c>
      <c r="B129" s="365"/>
      <c r="C129" s="23" t="s">
        <v>639</v>
      </c>
      <c r="D129" s="89"/>
      <c r="E129" s="749"/>
      <c r="F129" s="750"/>
      <c r="G129" s="751"/>
    </row>
    <row r="130" spans="1:7" x14ac:dyDescent="0.3">
      <c r="A130" s="105" t="s">
        <v>1053</v>
      </c>
      <c r="B130" s="365"/>
      <c r="C130" s="28" t="s">
        <v>640</v>
      </c>
      <c r="D130" s="90"/>
      <c r="E130" s="749"/>
      <c r="F130" s="750"/>
      <c r="G130" s="751"/>
    </row>
    <row r="131" spans="1:7" x14ac:dyDescent="0.3">
      <c r="A131" s="105" t="s">
        <v>1054</v>
      </c>
      <c r="B131" s="365"/>
      <c r="C131" s="26" t="s">
        <v>641</v>
      </c>
      <c r="D131" s="91"/>
      <c r="E131" s="752"/>
      <c r="F131" s="753"/>
      <c r="G131" s="754"/>
    </row>
    <row r="132" spans="1:7" x14ac:dyDescent="0.3">
      <c r="A132" s="105" t="s">
        <v>1055</v>
      </c>
      <c r="B132" s="365"/>
      <c r="C132" s="28" t="s">
        <v>366</v>
      </c>
      <c r="D132" s="92"/>
      <c r="G132" s="366"/>
    </row>
    <row r="133" spans="1:7" x14ac:dyDescent="0.3">
      <c r="A133" s="105" t="s">
        <v>1056</v>
      </c>
      <c r="B133" s="365"/>
      <c r="C133" s="28" t="s">
        <v>367</v>
      </c>
      <c r="D133" s="92"/>
      <c r="G133" s="366"/>
    </row>
    <row r="134" spans="1:7" x14ac:dyDescent="0.3">
      <c r="A134" s="105" t="s">
        <v>1057</v>
      </c>
      <c r="B134" s="367"/>
      <c r="C134" s="26" t="s">
        <v>368</v>
      </c>
      <c r="D134" s="93"/>
      <c r="E134" s="94"/>
      <c r="F134" s="94"/>
      <c r="G134" s="368"/>
    </row>
    <row r="135" spans="1:7" x14ac:dyDescent="0.3">
      <c r="A135" s="105" t="s">
        <v>1058</v>
      </c>
      <c r="B135" s="364" t="s">
        <v>49</v>
      </c>
      <c r="C135" s="23" t="s">
        <v>20</v>
      </c>
      <c r="D135" s="98">
        <f>VLOOKUP(B135,'7'!$B$7:$C$26,2,FALSE)</f>
        <v>0</v>
      </c>
      <c r="E135" s="746">
        <f>HLOOKUP(B135,'10'!$D$6:$W$18,13,FALSE)</f>
        <v>0</v>
      </c>
      <c r="F135" s="747"/>
      <c r="G135" s="748"/>
    </row>
    <row r="136" spans="1:7" x14ac:dyDescent="0.3">
      <c r="A136" s="105" t="s">
        <v>1059</v>
      </c>
      <c r="B136" s="365"/>
      <c r="C136" s="99" t="s">
        <v>537</v>
      </c>
      <c r="D136" s="100">
        <f>VLOOKUP(B135,'9'!$B$8:$D$27,3,FALSE)</f>
        <v>0</v>
      </c>
      <c r="E136" s="749"/>
      <c r="F136" s="750"/>
      <c r="G136" s="751"/>
    </row>
    <row r="137" spans="1:7" x14ac:dyDescent="0.3">
      <c r="A137" s="105" t="s">
        <v>1060</v>
      </c>
      <c r="B137" s="365"/>
      <c r="C137" s="23" t="s">
        <v>639</v>
      </c>
      <c r="D137" s="89"/>
      <c r="E137" s="749"/>
      <c r="F137" s="750"/>
      <c r="G137" s="751"/>
    </row>
    <row r="138" spans="1:7" x14ac:dyDescent="0.3">
      <c r="A138" s="105" t="s">
        <v>1061</v>
      </c>
      <c r="B138" s="365"/>
      <c r="C138" s="28" t="s">
        <v>640</v>
      </c>
      <c r="D138" s="90"/>
      <c r="E138" s="749"/>
      <c r="F138" s="750"/>
      <c r="G138" s="751"/>
    </row>
    <row r="139" spans="1:7" x14ac:dyDescent="0.3">
      <c r="A139" s="105" t="s">
        <v>1062</v>
      </c>
      <c r="B139" s="365"/>
      <c r="C139" s="26" t="s">
        <v>641</v>
      </c>
      <c r="D139" s="91"/>
      <c r="E139" s="752"/>
      <c r="F139" s="753"/>
      <c r="G139" s="754"/>
    </row>
    <row r="140" spans="1:7" x14ac:dyDescent="0.3">
      <c r="A140" s="105" t="s">
        <v>1063</v>
      </c>
      <c r="B140" s="365"/>
      <c r="C140" s="28" t="s">
        <v>366</v>
      </c>
      <c r="D140" s="92"/>
      <c r="G140" s="366"/>
    </row>
    <row r="141" spans="1:7" x14ac:dyDescent="0.3">
      <c r="A141" s="105" t="s">
        <v>1064</v>
      </c>
      <c r="B141" s="365"/>
      <c r="C141" s="28" t="s">
        <v>367</v>
      </c>
      <c r="D141" s="92"/>
      <c r="G141" s="366"/>
    </row>
    <row r="142" spans="1:7" x14ac:dyDescent="0.3">
      <c r="A142" s="105" t="s">
        <v>1065</v>
      </c>
      <c r="B142" s="367"/>
      <c r="C142" s="26" t="s">
        <v>368</v>
      </c>
      <c r="D142" s="93"/>
      <c r="E142" s="94"/>
      <c r="F142" s="94"/>
      <c r="G142" s="368"/>
    </row>
    <row r="143" spans="1:7" x14ac:dyDescent="0.3">
      <c r="A143" s="105" t="s">
        <v>1066</v>
      </c>
      <c r="B143" s="364" t="s">
        <v>50</v>
      </c>
      <c r="C143" s="23" t="s">
        <v>20</v>
      </c>
      <c r="D143" s="98">
        <f>VLOOKUP(B143,'7'!$B$7:$C$26,2,FALSE)</f>
        <v>0</v>
      </c>
      <c r="E143" s="746">
        <f>HLOOKUP(B143,'10'!$D$6:$W$18,13,FALSE)</f>
        <v>0</v>
      </c>
      <c r="F143" s="747"/>
      <c r="G143" s="748"/>
    </row>
    <row r="144" spans="1:7" x14ac:dyDescent="0.3">
      <c r="A144" s="105" t="s">
        <v>1067</v>
      </c>
      <c r="B144" s="365"/>
      <c r="C144" s="99" t="s">
        <v>537</v>
      </c>
      <c r="D144" s="100">
        <f>VLOOKUP(B143,'9'!$B$8:$D$27,3,FALSE)</f>
        <v>0</v>
      </c>
      <c r="E144" s="749"/>
      <c r="F144" s="750"/>
      <c r="G144" s="751"/>
    </row>
    <row r="145" spans="1:7" x14ac:dyDescent="0.3">
      <c r="A145" s="105" t="s">
        <v>1068</v>
      </c>
      <c r="B145" s="365"/>
      <c r="C145" s="23" t="s">
        <v>639</v>
      </c>
      <c r="D145" s="89"/>
      <c r="E145" s="749"/>
      <c r="F145" s="750"/>
      <c r="G145" s="751"/>
    </row>
    <row r="146" spans="1:7" x14ac:dyDescent="0.3">
      <c r="A146" s="105" t="s">
        <v>1069</v>
      </c>
      <c r="B146" s="365"/>
      <c r="C146" s="28" t="s">
        <v>640</v>
      </c>
      <c r="D146" s="90"/>
      <c r="E146" s="749"/>
      <c r="F146" s="750"/>
      <c r="G146" s="751"/>
    </row>
    <row r="147" spans="1:7" x14ac:dyDescent="0.3">
      <c r="A147" s="105" t="s">
        <v>1070</v>
      </c>
      <c r="B147" s="365"/>
      <c r="C147" s="26" t="s">
        <v>641</v>
      </c>
      <c r="D147" s="91"/>
      <c r="E147" s="752"/>
      <c r="F147" s="753"/>
      <c r="G147" s="754"/>
    </row>
    <row r="148" spans="1:7" x14ac:dyDescent="0.3">
      <c r="A148" s="105" t="s">
        <v>1071</v>
      </c>
      <c r="B148" s="365"/>
      <c r="C148" s="28" t="s">
        <v>366</v>
      </c>
      <c r="D148" s="92"/>
      <c r="G148" s="366"/>
    </row>
    <row r="149" spans="1:7" x14ac:dyDescent="0.3">
      <c r="A149" s="105" t="s">
        <v>1072</v>
      </c>
      <c r="B149" s="365"/>
      <c r="C149" s="28" t="s">
        <v>367</v>
      </c>
      <c r="D149" s="92"/>
      <c r="G149" s="366"/>
    </row>
    <row r="150" spans="1:7" x14ac:dyDescent="0.3">
      <c r="A150" s="105" t="s">
        <v>1073</v>
      </c>
      <c r="B150" s="367"/>
      <c r="C150" s="26" t="s">
        <v>368</v>
      </c>
      <c r="D150" s="93"/>
      <c r="E150" s="94"/>
      <c r="F150" s="94"/>
      <c r="G150" s="368"/>
    </row>
    <row r="151" spans="1:7" x14ac:dyDescent="0.3">
      <c r="A151" s="105" t="s">
        <v>1074</v>
      </c>
      <c r="B151" s="364" t="s">
        <v>51</v>
      </c>
      <c r="C151" s="23" t="s">
        <v>20</v>
      </c>
      <c r="D151" s="98">
        <f>VLOOKUP(B151,'7'!$B$7:$C$26,2,FALSE)</f>
        <v>0</v>
      </c>
      <c r="E151" s="746">
        <f>HLOOKUP(B151,'10'!$D$6:$W$18,13,FALSE)</f>
        <v>0</v>
      </c>
      <c r="F151" s="747"/>
      <c r="G151" s="748"/>
    </row>
    <row r="152" spans="1:7" x14ac:dyDescent="0.3">
      <c r="A152" s="105" t="s">
        <v>1075</v>
      </c>
      <c r="B152" s="365"/>
      <c r="C152" s="99" t="s">
        <v>537</v>
      </c>
      <c r="D152" s="100">
        <f>VLOOKUP(B151,'9'!$B$8:$D$27,3,FALSE)</f>
        <v>0</v>
      </c>
      <c r="E152" s="749"/>
      <c r="F152" s="750"/>
      <c r="G152" s="751"/>
    </row>
    <row r="153" spans="1:7" x14ac:dyDescent="0.3">
      <c r="A153" s="105" t="s">
        <v>1076</v>
      </c>
      <c r="B153" s="365"/>
      <c r="C153" s="23" t="s">
        <v>639</v>
      </c>
      <c r="D153" s="89"/>
      <c r="E153" s="749"/>
      <c r="F153" s="750"/>
      <c r="G153" s="751"/>
    </row>
    <row r="154" spans="1:7" x14ac:dyDescent="0.3">
      <c r="A154" s="105" t="s">
        <v>1077</v>
      </c>
      <c r="B154" s="365"/>
      <c r="C154" s="28" t="s">
        <v>640</v>
      </c>
      <c r="D154" s="90"/>
      <c r="E154" s="749"/>
      <c r="F154" s="750"/>
      <c r="G154" s="751"/>
    </row>
    <row r="155" spans="1:7" x14ac:dyDescent="0.3">
      <c r="A155" s="105" t="s">
        <v>1078</v>
      </c>
      <c r="B155" s="365"/>
      <c r="C155" s="26" t="s">
        <v>641</v>
      </c>
      <c r="D155" s="91"/>
      <c r="E155" s="752"/>
      <c r="F155" s="753"/>
      <c r="G155" s="754"/>
    </row>
    <row r="156" spans="1:7" x14ac:dyDescent="0.3">
      <c r="A156" s="105" t="s">
        <v>1079</v>
      </c>
      <c r="B156" s="365"/>
      <c r="C156" s="28" t="s">
        <v>366</v>
      </c>
      <c r="D156" s="92"/>
      <c r="G156" s="366"/>
    </row>
    <row r="157" spans="1:7" x14ac:dyDescent="0.3">
      <c r="A157" s="105" t="s">
        <v>1080</v>
      </c>
      <c r="B157" s="365"/>
      <c r="C157" s="28" t="s">
        <v>367</v>
      </c>
      <c r="D157" s="92"/>
      <c r="G157" s="366"/>
    </row>
    <row r="158" spans="1:7" x14ac:dyDescent="0.3">
      <c r="A158" s="105" t="s">
        <v>1081</v>
      </c>
      <c r="B158" s="367"/>
      <c r="C158" s="26" t="s">
        <v>368</v>
      </c>
      <c r="D158" s="93"/>
      <c r="E158" s="94"/>
      <c r="F158" s="94"/>
      <c r="G158" s="368"/>
    </row>
    <row r="159" spans="1:7" x14ac:dyDescent="0.3">
      <c r="A159" s="105" t="s">
        <v>1082</v>
      </c>
      <c r="B159" s="364" t="s">
        <v>52</v>
      </c>
      <c r="C159" s="23" t="s">
        <v>20</v>
      </c>
      <c r="D159" s="98">
        <f>VLOOKUP(B159,'7'!$B$7:$C$26,2,FALSE)</f>
        <v>0</v>
      </c>
      <c r="E159" s="746">
        <f>HLOOKUP(B159,'10'!$D$6:$W$18,13,FALSE)</f>
        <v>0</v>
      </c>
      <c r="F159" s="747"/>
      <c r="G159" s="748"/>
    </row>
    <row r="160" spans="1:7" x14ac:dyDescent="0.3">
      <c r="A160" s="105" t="s">
        <v>1083</v>
      </c>
      <c r="B160" s="365"/>
      <c r="C160" s="99" t="s">
        <v>537</v>
      </c>
      <c r="D160" s="100">
        <f>VLOOKUP(B159,'9'!$B$8:$D$27,3,FALSE)</f>
        <v>0</v>
      </c>
      <c r="E160" s="749"/>
      <c r="F160" s="750"/>
      <c r="G160" s="751"/>
    </row>
    <row r="161" spans="1:7" x14ac:dyDescent="0.3">
      <c r="A161" s="105" t="s">
        <v>1084</v>
      </c>
      <c r="B161" s="365"/>
      <c r="C161" s="23" t="s">
        <v>639</v>
      </c>
      <c r="D161" s="89"/>
      <c r="E161" s="749"/>
      <c r="F161" s="750"/>
      <c r="G161" s="751"/>
    </row>
    <row r="162" spans="1:7" x14ac:dyDescent="0.3">
      <c r="A162" s="105" t="s">
        <v>1085</v>
      </c>
      <c r="B162" s="365"/>
      <c r="C162" s="28" t="s">
        <v>640</v>
      </c>
      <c r="D162" s="90"/>
      <c r="E162" s="749"/>
      <c r="F162" s="750"/>
      <c r="G162" s="751"/>
    </row>
    <row r="163" spans="1:7" x14ac:dyDescent="0.3">
      <c r="A163" s="105" t="s">
        <v>1086</v>
      </c>
      <c r="B163" s="365"/>
      <c r="C163" s="26" t="s">
        <v>641</v>
      </c>
      <c r="D163" s="91"/>
      <c r="E163" s="752"/>
      <c r="F163" s="753"/>
      <c r="G163" s="754"/>
    </row>
    <row r="164" spans="1:7" x14ac:dyDescent="0.3">
      <c r="A164" s="105" t="s">
        <v>1087</v>
      </c>
      <c r="B164" s="365"/>
      <c r="C164" s="28" t="s">
        <v>366</v>
      </c>
      <c r="D164" s="92"/>
      <c r="G164" s="366"/>
    </row>
    <row r="165" spans="1:7" x14ac:dyDescent="0.3">
      <c r="A165" s="105" t="s">
        <v>1088</v>
      </c>
      <c r="B165" s="365"/>
      <c r="C165" s="28" t="s">
        <v>367</v>
      </c>
      <c r="D165" s="92"/>
      <c r="G165" s="366"/>
    </row>
    <row r="166" spans="1:7" ht="15" thickBot="1" x14ac:dyDescent="0.35">
      <c r="A166" s="105" t="s">
        <v>1089</v>
      </c>
      <c r="B166" s="369"/>
      <c r="C166" s="370" t="s">
        <v>368</v>
      </c>
      <c r="D166" s="371"/>
      <c r="E166" s="372"/>
      <c r="F166" s="372"/>
      <c r="G166" s="373"/>
    </row>
    <row r="169" spans="1:7" x14ac:dyDescent="0.3">
      <c r="C169" s="1"/>
      <c r="D169" s="360" t="s">
        <v>1353</v>
      </c>
    </row>
    <row r="170" spans="1:7" x14ac:dyDescent="0.3">
      <c r="C170" s="1">
        <v>1</v>
      </c>
      <c r="D170" s="500" t="s">
        <v>1344</v>
      </c>
    </row>
    <row r="171" spans="1:7" ht="28.8" x14ac:dyDescent="0.3">
      <c r="C171" s="1">
        <v>2</v>
      </c>
      <c r="D171" s="500" t="s">
        <v>1345</v>
      </c>
    </row>
    <row r="172" spans="1:7" ht="43.2" x14ac:dyDescent="0.3">
      <c r="C172" s="1">
        <v>3</v>
      </c>
      <c r="D172" s="500" t="s">
        <v>1346</v>
      </c>
    </row>
    <row r="173" spans="1:7" ht="86.4" x14ac:dyDescent="0.3">
      <c r="C173" s="1">
        <v>4</v>
      </c>
      <c r="D173" s="500" t="s">
        <v>1355</v>
      </c>
    </row>
    <row r="174" spans="1:7" ht="43.2" x14ac:dyDescent="0.3">
      <c r="C174" s="1">
        <v>5</v>
      </c>
      <c r="D174" s="500" t="s">
        <v>1347</v>
      </c>
    </row>
    <row r="175" spans="1:7" ht="100.8" x14ac:dyDescent="0.3">
      <c r="C175" s="1">
        <v>6</v>
      </c>
      <c r="D175" s="500" t="s">
        <v>1635</v>
      </c>
    </row>
    <row r="176" spans="1:7" ht="43.2" x14ac:dyDescent="0.3">
      <c r="C176" s="1">
        <v>7</v>
      </c>
      <c r="D176" s="335" t="s">
        <v>1349</v>
      </c>
    </row>
    <row r="177" spans="3:4" ht="86.4" x14ac:dyDescent="0.3">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7:G11"/>
    <mergeCell ref="E15:G19"/>
    <mergeCell ref="E23:G27"/>
    <mergeCell ref="E31:G35"/>
    <mergeCell ref="E39:G43"/>
    <mergeCell ref="E47:G51"/>
    <mergeCell ref="E55:G59"/>
    <mergeCell ref="E63:G67"/>
    <mergeCell ref="E71:G75"/>
    <mergeCell ref="E79:G83"/>
    <mergeCell ref="E135:G139"/>
    <mergeCell ref="E143:G147"/>
    <mergeCell ref="E151:G155"/>
    <mergeCell ref="E159:G163"/>
    <mergeCell ref="E87:G91"/>
    <mergeCell ref="E95:G99"/>
    <mergeCell ref="E103:G107"/>
    <mergeCell ref="E111:G115"/>
    <mergeCell ref="E119:G123"/>
    <mergeCell ref="E127:G131"/>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00000000-0002-0000-0E00-000001000000}">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AE38"/>
  <sheetViews>
    <sheetView tabSelected="1" zoomScale="80" zoomScaleNormal="80" workbookViewId="0">
      <selection activeCell="J15" sqref="J15"/>
    </sheetView>
  </sheetViews>
  <sheetFormatPr defaultColWidth="9.109375" defaultRowHeight="14.4" x14ac:dyDescent="0.3"/>
  <cols>
    <col min="1" max="1" width="8.6640625" style="13" customWidth="1"/>
    <col min="2" max="2" width="12.6640625" style="13" customWidth="1"/>
    <col min="3" max="3" width="70.5546875" style="13" customWidth="1"/>
    <col min="4" max="4" width="11.6640625" style="13" customWidth="1"/>
    <col min="5" max="5" width="12.6640625" style="13" customWidth="1"/>
    <col min="6" max="30" width="11.6640625" style="13" customWidth="1"/>
    <col min="31" max="31" width="32.6640625" style="13" customWidth="1"/>
    <col min="32" max="16384" width="9.109375" style="13"/>
  </cols>
  <sheetData>
    <row r="1" spans="1:31" s="42" customFormat="1" ht="18" x14ac:dyDescent="0.3">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3">
      <c r="A3" s="1"/>
      <c r="B3" s="140" t="s">
        <v>1272</v>
      </c>
      <c r="C3" s="205" t="str">
        <f>'1'!C8</f>
        <v>TRAK</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 thickBot="1" x14ac:dyDescent="0.35"/>
    <row r="5" spans="1:31" x14ac:dyDescent="0.3">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2" x14ac:dyDescent="0.3">
      <c r="A6" s="1"/>
      <c r="B6" s="344" t="s">
        <v>54</v>
      </c>
      <c r="C6" s="255" t="s">
        <v>53</v>
      </c>
      <c r="D6" s="226" t="str">
        <f>'7'!F6</f>
        <v>Planuojama paramos suma priemonei, Eur</v>
      </c>
      <c r="E6" s="227" t="s">
        <v>1707</v>
      </c>
      <c r="F6" s="755" t="s">
        <v>1293</v>
      </c>
      <c r="G6" s="757" t="s">
        <v>100</v>
      </c>
      <c r="H6" s="758"/>
      <c r="I6" s="758"/>
      <c r="J6" s="760"/>
      <c r="K6" s="757" t="s">
        <v>101</v>
      </c>
      <c r="L6" s="758"/>
      <c r="M6" s="758"/>
      <c r="N6" s="760"/>
      <c r="O6" s="757" t="s">
        <v>102</v>
      </c>
      <c r="P6" s="758"/>
      <c r="Q6" s="758"/>
      <c r="R6" s="760"/>
      <c r="S6" s="757" t="s">
        <v>103</v>
      </c>
      <c r="T6" s="758"/>
      <c r="U6" s="758"/>
      <c r="V6" s="760"/>
      <c r="W6" s="757" t="s">
        <v>104</v>
      </c>
      <c r="X6" s="758"/>
      <c r="Y6" s="758"/>
      <c r="Z6" s="760"/>
      <c r="AA6" s="757" t="s">
        <v>105</v>
      </c>
      <c r="AB6" s="758"/>
      <c r="AC6" s="758"/>
      <c r="AD6" s="759"/>
      <c r="AE6" s="337" t="s">
        <v>1104</v>
      </c>
    </row>
    <row r="7" spans="1:31" x14ac:dyDescent="0.3">
      <c r="A7" s="1" t="s">
        <v>420</v>
      </c>
      <c r="B7" s="345"/>
      <c r="C7" s="257"/>
      <c r="D7" s="256"/>
      <c r="E7" s="258"/>
      <c r="F7" s="756"/>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3">
      <c r="A8" s="1" t="s">
        <v>421</v>
      </c>
      <c r="B8" s="347" t="s">
        <v>0</v>
      </c>
      <c r="C8" s="45" t="str">
        <f>'7'!C7</f>
        <v>Kraštovaizdžio išsaugojimas ir pritaikymas poilsiui, sveikatinimui, turzmui</v>
      </c>
      <c r="D8" s="208">
        <f>'7'!F7</f>
        <v>192000</v>
      </c>
      <c r="E8" s="147">
        <f>COUNTIFS($G8:$AD8,"&gt;0")</f>
        <v>5</v>
      </c>
      <c r="F8" s="209">
        <f>SUM(G8:AD8)</f>
        <v>192000</v>
      </c>
      <c r="G8" s="247"/>
      <c r="H8" s="248"/>
      <c r="I8" s="248"/>
      <c r="J8" s="249">
        <v>24000</v>
      </c>
      <c r="K8" s="247"/>
      <c r="L8" s="248">
        <v>48000</v>
      </c>
      <c r="M8" s="248"/>
      <c r="N8" s="249"/>
      <c r="O8" s="247"/>
      <c r="P8" s="248">
        <v>48000</v>
      </c>
      <c r="Q8" s="248"/>
      <c r="R8" s="249"/>
      <c r="S8" s="247"/>
      <c r="T8" s="248">
        <v>48000</v>
      </c>
      <c r="U8" s="248"/>
      <c r="V8" s="249"/>
      <c r="W8" s="247">
        <v>24000</v>
      </c>
      <c r="X8" s="248"/>
      <c r="Y8" s="248"/>
      <c r="Z8" s="249"/>
      <c r="AA8" s="247"/>
      <c r="AB8" s="248"/>
      <c r="AC8" s="248"/>
      <c r="AD8" s="348"/>
      <c r="AE8" s="338" t="str">
        <f>IF(D8=F8,"Gerai","Nesutampa sumos (3 ir 5 stulpeliai)")</f>
        <v>Gerai</v>
      </c>
    </row>
    <row r="9" spans="1:31" x14ac:dyDescent="0.3">
      <c r="A9" s="1" t="s">
        <v>422</v>
      </c>
      <c r="B9" s="347" t="s">
        <v>1</v>
      </c>
      <c r="C9" s="45" t="str">
        <f>'7'!C8</f>
        <v>Tvarios aplinkos kūrimas, aplinkosauginio sąmoningumo didinimas</v>
      </c>
      <c r="D9" s="208">
        <f>'7'!F8</f>
        <v>23934</v>
      </c>
      <c r="E9" s="147">
        <f t="shared" ref="E9:E27" si="0">COUNTIFS($G9:$AD9,"&gt;0")</f>
        <v>2</v>
      </c>
      <c r="F9" s="210">
        <f t="shared" ref="F9:F27" si="1">SUM(G9:AD9)</f>
        <v>23934</v>
      </c>
      <c r="G9" s="242"/>
      <c r="H9" s="250"/>
      <c r="I9" s="250"/>
      <c r="J9" s="251"/>
      <c r="K9" s="242">
        <v>11967</v>
      </c>
      <c r="L9" s="250"/>
      <c r="M9" s="250"/>
      <c r="N9" s="251"/>
      <c r="O9" s="242">
        <v>11967</v>
      </c>
      <c r="P9" s="250"/>
      <c r="Q9" s="250"/>
      <c r="R9" s="251"/>
      <c r="S9" s="242"/>
      <c r="T9" s="250"/>
      <c r="U9" s="250"/>
      <c r="V9" s="251"/>
      <c r="W9" s="242"/>
      <c r="X9" s="250"/>
      <c r="Y9" s="250"/>
      <c r="Z9" s="251"/>
      <c r="AA9" s="242"/>
      <c r="AB9" s="250"/>
      <c r="AC9" s="250"/>
      <c r="AD9" s="349"/>
      <c r="AE9" s="339" t="str">
        <f t="shared" ref="AE9:AE27" si="2">IF(D9=F9,"Gerai","Nesutampa sumos (3 ir 5 stulpeliai)")</f>
        <v>Gerai</v>
      </c>
    </row>
    <row r="10" spans="1:31" ht="28.8" x14ac:dyDescent="0.3">
      <c r="A10" s="1" t="s">
        <v>423</v>
      </c>
      <c r="B10" s="347" t="s">
        <v>2</v>
      </c>
      <c r="C10" s="45" t="str">
        <f>'7'!C9</f>
        <v>Jaunimo ir su jaunimu dirbančių organizacijų stiprinimas, jaunimo užimtumo įvairinimas</v>
      </c>
      <c r="D10" s="208">
        <f>'7'!F9</f>
        <v>80000</v>
      </c>
      <c r="E10" s="147">
        <f t="shared" si="0"/>
        <v>5</v>
      </c>
      <c r="F10" s="210">
        <f t="shared" si="1"/>
        <v>80000</v>
      </c>
      <c r="G10" s="242"/>
      <c r="H10" s="250"/>
      <c r="I10" s="250">
        <v>20000</v>
      </c>
      <c r="J10" s="251"/>
      <c r="K10" s="242"/>
      <c r="L10" s="250">
        <v>10000</v>
      </c>
      <c r="M10" s="250"/>
      <c r="N10" s="251"/>
      <c r="O10" s="242"/>
      <c r="P10" s="250">
        <v>20000</v>
      </c>
      <c r="Q10" s="250"/>
      <c r="R10" s="251"/>
      <c r="S10" s="242">
        <v>20000</v>
      </c>
      <c r="T10" s="250"/>
      <c r="U10" s="250"/>
      <c r="V10" s="251"/>
      <c r="W10" s="242">
        <v>10000</v>
      </c>
      <c r="X10" s="250"/>
      <c r="Y10" s="250"/>
      <c r="Z10" s="251"/>
      <c r="AA10" s="242"/>
      <c r="AB10" s="250"/>
      <c r="AC10" s="250"/>
      <c r="AD10" s="349"/>
      <c r="AE10" s="339" t="str">
        <f t="shared" si="2"/>
        <v>Gerai</v>
      </c>
    </row>
    <row r="11" spans="1:31" x14ac:dyDescent="0.3">
      <c r="A11" s="1" t="s">
        <v>424</v>
      </c>
      <c r="B11" s="347" t="s">
        <v>3</v>
      </c>
      <c r="C11" s="45" t="str">
        <f>'7'!C10</f>
        <v>Potencialių pareiškėjų ir projektų vykdytojų mokymai</v>
      </c>
      <c r="D11" s="208">
        <f>'7'!F10</f>
        <v>80000</v>
      </c>
      <c r="E11" s="147">
        <f t="shared" si="0"/>
        <v>3</v>
      </c>
      <c r="F11" s="210">
        <f t="shared" si="1"/>
        <v>80000</v>
      </c>
      <c r="G11" s="242"/>
      <c r="H11" s="250"/>
      <c r="I11" s="250">
        <v>20000</v>
      </c>
      <c r="J11" s="251"/>
      <c r="K11" s="242"/>
      <c r="L11" s="250">
        <v>30000</v>
      </c>
      <c r="M11" s="250"/>
      <c r="N11" s="251"/>
      <c r="O11" s="242"/>
      <c r="P11" s="250">
        <v>30000</v>
      </c>
      <c r="Q11" s="250"/>
      <c r="R11" s="251"/>
      <c r="S11" s="242"/>
      <c r="T11" s="250"/>
      <c r="U11" s="250"/>
      <c r="V11" s="251"/>
      <c r="W11" s="242"/>
      <c r="X11" s="250"/>
      <c r="Y11" s="250"/>
      <c r="Z11" s="251"/>
      <c r="AA11" s="242"/>
      <c r="AB11" s="250"/>
      <c r="AC11" s="250"/>
      <c r="AD11" s="349"/>
      <c r="AE11" s="339" t="str">
        <f t="shared" si="2"/>
        <v>Gerai</v>
      </c>
    </row>
    <row r="12" spans="1:31" x14ac:dyDescent="0.3">
      <c r="A12" s="1" t="s">
        <v>425</v>
      </c>
      <c r="B12" s="347" t="s">
        <v>4</v>
      </c>
      <c r="C12" s="45" t="str">
        <f>'7'!C11</f>
        <v>Skaitmeninių, informacinių, komunikacinių technologijų taikymas versle</v>
      </c>
      <c r="D12" s="208">
        <f>'7'!F11</f>
        <v>140000</v>
      </c>
      <c r="E12" s="147">
        <f t="shared" si="0"/>
        <v>2</v>
      </c>
      <c r="F12" s="210">
        <f t="shared" si="1"/>
        <v>140000</v>
      </c>
      <c r="G12" s="242"/>
      <c r="H12" s="250"/>
      <c r="I12" s="250"/>
      <c r="J12" s="251"/>
      <c r="K12" s="242">
        <v>70000</v>
      </c>
      <c r="L12" s="250"/>
      <c r="M12" s="250"/>
      <c r="N12" s="251"/>
      <c r="O12" s="242">
        <v>70000</v>
      </c>
      <c r="P12" s="250"/>
      <c r="Q12" s="250"/>
      <c r="R12" s="251"/>
      <c r="S12" s="242"/>
      <c r="T12" s="250"/>
      <c r="U12" s="250"/>
      <c r="V12" s="251"/>
      <c r="W12" s="242"/>
      <c r="X12" s="250"/>
      <c r="Y12" s="250"/>
      <c r="Z12" s="251"/>
      <c r="AA12" s="242"/>
      <c r="AB12" s="250"/>
      <c r="AC12" s="250"/>
      <c r="AD12" s="349"/>
      <c r="AE12" s="339" t="str">
        <f t="shared" si="2"/>
        <v>Gerai</v>
      </c>
    </row>
    <row r="13" spans="1:31" x14ac:dyDescent="0.3">
      <c r="A13" s="1" t="s">
        <v>426</v>
      </c>
      <c r="B13" s="347" t="s">
        <v>5</v>
      </c>
      <c r="C13" s="45" t="str">
        <f>'7'!C12</f>
        <v>Vietos produktų /paslaugų kūrimas ir (ar) populiarinimas taikant inovacijas</v>
      </c>
      <c r="D13" s="208">
        <f>'7'!F12</f>
        <v>100001</v>
      </c>
      <c r="E13" s="147">
        <f t="shared" si="0"/>
        <v>1</v>
      </c>
      <c r="F13" s="210">
        <f t="shared" si="1"/>
        <v>100001</v>
      </c>
      <c r="G13" s="242"/>
      <c r="H13" s="250"/>
      <c r="I13" s="250"/>
      <c r="J13" s="251"/>
      <c r="K13" s="242"/>
      <c r="L13" s="250"/>
      <c r="M13" s="250"/>
      <c r="N13" s="251"/>
      <c r="O13" s="242">
        <v>100001</v>
      </c>
      <c r="P13" s="250"/>
      <c r="Q13" s="250"/>
      <c r="R13" s="251"/>
      <c r="S13" s="242"/>
      <c r="T13" s="250"/>
      <c r="U13" s="250"/>
      <c r="V13" s="251"/>
      <c r="W13" s="242"/>
      <c r="X13" s="250"/>
      <c r="Y13" s="250"/>
      <c r="Z13" s="251"/>
      <c r="AA13" s="242"/>
      <c r="AB13" s="250"/>
      <c r="AC13" s="250"/>
      <c r="AD13" s="349"/>
      <c r="AE13" s="339" t="str">
        <f t="shared" si="2"/>
        <v>Gerai</v>
      </c>
    </row>
    <row r="14" spans="1:31" x14ac:dyDescent="0.3">
      <c r="A14" s="1" t="s">
        <v>427</v>
      </c>
      <c r="B14" s="347" t="s">
        <v>6</v>
      </c>
      <c r="C14" s="45" t="str">
        <f>'7'!C13</f>
        <v>Paslaugų įvairinimas/kūrimas, stiprinant materialinę bazę ir (ar) kompetencijas</v>
      </c>
      <c r="D14" s="208">
        <f>'7'!F13</f>
        <v>280000</v>
      </c>
      <c r="E14" s="147">
        <f t="shared" si="0"/>
        <v>2</v>
      </c>
      <c r="F14" s="210">
        <f t="shared" si="1"/>
        <v>280000</v>
      </c>
      <c r="G14" s="242"/>
      <c r="H14" s="250"/>
      <c r="I14" s="250"/>
      <c r="J14" s="251"/>
      <c r="K14" s="242"/>
      <c r="L14" s="250">
        <v>140000</v>
      </c>
      <c r="M14" s="250"/>
      <c r="N14" s="251"/>
      <c r="O14" s="242"/>
      <c r="P14" s="250">
        <v>140000</v>
      </c>
      <c r="Q14" s="250"/>
      <c r="R14" s="251"/>
      <c r="S14" s="242"/>
      <c r="T14" s="250"/>
      <c r="U14" s="250"/>
      <c r="V14" s="251"/>
      <c r="W14" s="242"/>
      <c r="X14" s="250"/>
      <c r="Y14" s="250"/>
      <c r="Z14" s="251"/>
      <c r="AA14" s="242"/>
      <c r="AB14" s="250"/>
      <c r="AC14" s="250"/>
      <c r="AD14" s="349"/>
      <c r="AE14" s="339" t="str">
        <f t="shared" si="2"/>
        <v>Gerai</v>
      </c>
    </row>
    <row r="15" spans="1:31" ht="28.8" x14ac:dyDescent="0.3">
      <c r="A15" s="1" t="s">
        <v>428</v>
      </c>
      <c r="B15" s="347" t="s">
        <v>7</v>
      </c>
      <c r="C15" s="45" t="str">
        <f>'7'!C14</f>
        <v xml:space="preserve">Vietos gyventojų socialinio aktyvumo bei verslumo skatinimas įtraukiant pažeidžiamas grupes </v>
      </c>
      <c r="D15" s="208">
        <f>'7'!F14</f>
        <v>200000</v>
      </c>
      <c r="E15" s="147">
        <f t="shared" si="0"/>
        <v>2</v>
      </c>
      <c r="F15" s="210">
        <f t="shared" si="1"/>
        <v>200000</v>
      </c>
      <c r="G15" s="242"/>
      <c r="H15" s="250"/>
      <c r="I15" s="250">
        <v>100000</v>
      </c>
      <c r="J15" s="251"/>
      <c r="K15" s="242"/>
      <c r="L15" s="250"/>
      <c r="M15" s="250">
        <v>100000</v>
      </c>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3">
      <c r="A16" s="1" t="s">
        <v>429</v>
      </c>
      <c r="B16" s="347" t="s">
        <v>8</v>
      </c>
      <c r="C16" s="45" t="str">
        <f>'7'!C15</f>
        <v>Bendruomeninio verslo kūrimas skatinant savanorystę</v>
      </c>
      <c r="D16" s="208">
        <f>'7'!F15</f>
        <v>100000</v>
      </c>
      <c r="E16" s="147">
        <f t="shared" si="0"/>
        <v>1</v>
      </c>
      <c r="F16" s="210">
        <f t="shared" si="1"/>
        <v>100000</v>
      </c>
      <c r="G16" s="242"/>
      <c r="H16" s="250"/>
      <c r="I16" s="250"/>
      <c r="J16" s="251"/>
      <c r="K16" s="242"/>
      <c r="L16" s="250"/>
      <c r="M16" s="250"/>
      <c r="N16" s="251"/>
      <c r="O16" s="242"/>
      <c r="P16" s="250"/>
      <c r="Q16" s="250"/>
      <c r="R16" s="251"/>
      <c r="S16" s="242">
        <v>100000</v>
      </c>
      <c r="T16" s="250"/>
      <c r="U16" s="250"/>
      <c r="V16" s="251"/>
      <c r="W16" s="242"/>
      <c r="X16" s="250"/>
      <c r="Y16" s="250"/>
      <c r="Z16" s="251"/>
      <c r="AA16" s="242"/>
      <c r="AB16" s="250"/>
      <c r="AC16" s="250"/>
      <c r="AD16" s="349"/>
      <c r="AE16" s="339" t="str">
        <f t="shared" si="2"/>
        <v>Gerai</v>
      </c>
    </row>
    <row r="17" spans="1:31" x14ac:dyDescent="0.3">
      <c r="A17" s="1" t="s">
        <v>649</v>
      </c>
      <c r="B17" s="347" t="s">
        <v>9</v>
      </c>
      <c r="C17" s="45" t="str">
        <f>'7'!C16</f>
        <v>Tarptautinis, teritorinis bendradarbiavimas</v>
      </c>
      <c r="D17" s="208">
        <f>'7'!F16</f>
        <v>10000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Nesutampa sumos (3 ir 5 stulpeliai)</v>
      </c>
    </row>
    <row r="18" spans="1:31" x14ac:dyDescent="0.3">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3">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3">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3">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3">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3">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3">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3">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3">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3">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 thickBot="1" x14ac:dyDescent="0.35">
      <c r="A28" s="1" t="s">
        <v>1339</v>
      </c>
      <c r="B28" s="352"/>
      <c r="C28" s="353" t="s">
        <v>160</v>
      </c>
      <c r="D28" s="354">
        <f>SUM(D8:D27)</f>
        <v>1205935</v>
      </c>
      <c r="E28" s="355">
        <f>SUM(E8:E27)</f>
        <v>23</v>
      </c>
      <c r="F28" s="354">
        <f>SUM(F8:F27)</f>
        <v>1195935</v>
      </c>
      <c r="G28" s="356">
        <f>SUM(G8:G27)</f>
        <v>0</v>
      </c>
      <c r="H28" s="356">
        <f t="shared" ref="H28:AD28" si="3">SUM(H8:H27)</f>
        <v>0</v>
      </c>
      <c r="I28" s="356">
        <f t="shared" si="3"/>
        <v>140000</v>
      </c>
      <c r="J28" s="356">
        <f t="shared" si="3"/>
        <v>24000</v>
      </c>
      <c r="K28" s="357">
        <f t="shared" si="3"/>
        <v>81967</v>
      </c>
      <c r="L28" s="356">
        <f t="shared" si="3"/>
        <v>228000</v>
      </c>
      <c r="M28" s="356">
        <f t="shared" si="3"/>
        <v>100000</v>
      </c>
      <c r="N28" s="358">
        <f t="shared" si="3"/>
        <v>0</v>
      </c>
      <c r="O28" s="356">
        <f t="shared" si="3"/>
        <v>181968</v>
      </c>
      <c r="P28" s="356">
        <f t="shared" si="3"/>
        <v>238000</v>
      </c>
      <c r="Q28" s="356">
        <f t="shared" si="3"/>
        <v>0</v>
      </c>
      <c r="R28" s="356">
        <f t="shared" si="3"/>
        <v>0</v>
      </c>
      <c r="S28" s="357">
        <f t="shared" si="3"/>
        <v>120000</v>
      </c>
      <c r="T28" s="356">
        <f t="shared" si="3"/>
        <v>48000</v>
      </c>
      <c r="U28" s="356">
        <f t="shared" si="3"/>
        <v>0</v>
      </c>
      <c r="V28" s="358">
        <f t="shared" si="3"/>
        <v>0</v>
      </c>
      <c r="W28" s="356">
        <f t="shared" si="3"/>
        <v>34000</v>
      </c>
      <c r="X28" s="356">
        <f t="shared" si="3"/>
        <v>0</v>
      </c>
      <c r="Y28" s="356">
        <f t="shared" si="3"/>
        <v>0</v>
      </c>
      <c r="Z28" s="356">
        <f t="shared" si="3"/>
        <v>0</v>
      </c>
      <c r="AA28" s="357">
        <f t="shared" si="3"/>
        <v>0</v>
      </c>
      <c r="AB28" s="356">
        <f t="shared" si="3"/>
        <v>0</v>
      </c>
      <c r="AC28" s="356">
        <f t="shared" si="3"/>
        <v>0</v>
      </c>
      <c r="AD28" s="359">
        <f t="shared" si="3"/>
        <v>0</v>
      </c>
      <c r="AE28" s="317"/>
    </row>
    <row r="29" spans="1:31" ht="43.2" x14ac:dyDescent="0.3">
      <c r="B29" s="599" t="s">
        <v>1295</v>
      </c>
      <c r="C29" s="598" t="s">
        <v>1708</v>
      </c>
    </row>
    <row r="32" spans="1:31" x14ac:dyDescent="0.3">
      <c r="B32" s="1"/>
      <c r="C32" s="360" t="s">
        <v>1354</v>
      </c>
    </row>
    <row r="33" spans="2:3" ht="57.6" x14ac:dyDescent="0.3">
      <c r="B33" s="1">
        <v>1</v>
      </c>
      <c r="C33" s="335" t="s">
        <v>1342</v>
      </c>
    </row>
    <row r="34" spans="2:3" ht="28.8" x14ac:dyDescent="0.3">
      <c r="B34" s="1">
        <v>2</v>
      </c>
      <c r="C34" s="335" t="s">
        <v>1343</v>
      </c>
    </row>
    <row r="35" spans="2:3" ht="100.8" x14ac:dyDescent="0.3">
      <c r="B35" s="1">
        <v>3</v>
      </c>
      <c r="C35" s="335" t="s">
        <v>1340</v>
      </c>
    </row>
    <row r="36" spans="2:3" x14ac:dyDescent="0.3">
      <c r="B36" s="1">
        <v>4</v>
      </c>
      <c r="C36" s="361" t="s">
        <v>1318</v>
      </c>
    </row>
    <row r="37" spans="2:3" ht="28.8" x14ac:dyDescent="0.3">
      <c r="B37" s="1">
        <v>5</v>
      </c>
      <c r="C37" s="361" t="s">
        <v>1341</v>
      </c>
    </row>
    <row r="38" spans="2:3" ht="57.6" x14ac:dyDescent="0.3">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xr:uid="{00000000-0002-0000-0F00-000000000000}">
      <formula1>0</formula1>
      <formula2>100</formula2>
    </dataValidation>
    <dataValidation type="decimal" allowBlank="1" showInputMessage="1" showErrorMessage="1" prompt="Įveskite skaičių be tarpų. Centai skiriami kableliu. Maksimali suma - 1 000 000." sqref="G8:AD27" xr:uid="{00000000-0002-0000-0F00-000001000000}">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0"/>
  <sheetViews>
    <sheetView topLeftCell="C6" zoomScaleNormal="100" workbookViewId="0">
      <selection activeCell="F13" sqref="F13"/>
    </sheetView>
  </sheetViews>
  <sheetFormatPr defaultColWidth="9.109375" defaultRowHeight="14.4" x14ac:dyDescent="0.3"/>
  <cols>
    <col min="1" max="1" width="8.6640625" style="13" customWidth="1"/>
    <col min="2" max="2" width="40.6640625" style="13" customWidth="1"/>
    <col min="3" max="3" width="18.6640625" style="13" customWidth="1"/>
    <col min="4" max="4" width="52.6640625" style="13" customWidth="1"/>
    <col min="5" max="5" width="12.6640625" style="15" customWidth="1"/>
    <col min="6" max="6" width="20.6640625" style="13" customWidth="1"/>
    <col min="7" max="7" width="20.6640625" style="15" customWidth="1"/>
    <col min="8" max="8" width="9.109375" style="13"/>
    <col min="9" max="9" width="85.6640625" style="13" customWidth="1"/>
    <col min="10" max="16384" width="9.109375" style="13"/>
  </cols>
  <sheetData>
    <row r="1" spans="1:9" s="42" customFormat="1" ht="18" x14ac:dyDescent="0.3">
      <c r="A1" s="44" t="s">
        <v>430</v>
      </c>
      <c r="B1" s="44" t="s">
        <v>673</v>
      </c>
      <c r="C1" s="44"/>
      <c r="D1" s="44"/>
      <c r="E1" s="107"/>
      <c r="F1" s="44"/>
      <c r="G1" s="107"/>
      <c r="H1" s="44"/>
      <c r="I1" s="44"/>
    </row>
    <row r="2" spans="1:9" x14ac:dyDescent="0.3">
      <c r="A2" s="1"/>
      <c r="B2" s="1"/>
      <c r="C2" s="1"/>
      <c r="D2" s="1"/>
      <c r="E2" s="18"/>
      <c r="F2" s="171"/>
      <c r="G2" s="18"/>
      <c r="H2" s="1"/>
      <c r="I2" s="1"/>
    </row>
    <row r="3" spans="1:9" x14ac:dyDescent="0.3">
      <c r="A3" s="1"/>
      <c r="B3" s="140" t="s">
        <v>1272</v>
      </c>
      <c r="C3" s="205" t="str">
        <f>'1'!C8</f>
        <v>TRAK</v>
      </c>
      <c r="D3" s="1"/>
      <c r="E3" s="1"/>
      <c r="F3" s="1"/>
      <c r="G3" s="1"/>
      <c r="H3" s="1"/>
      <c r="I3" s="1"/>
    </row>
    <row r="4" spans="1:9" s="1" customFormat="1" ht="15" thickBot="1" x14ac:dyDescent="0.35"/>
    <row r="5" spans="1:9" x14ac:dyDescent="0.3">
      <c r="A5" s="1"/>
      <c r="B5" s="318">
        <v>1</v>
      </c>
      <c r="C5" s="319">
        <v>2</v>
      </c>
      <c r="D5" s="320">
        <v>3</v>
      </c>
      <c r="E5" s="319">
        <v>4</v>
      </c>
      <c r="F5" s="319">
        <v>5</v>
      </c>
      <c r="G5" s="319">
        <v>6</v>
      </c>
      <c r="H5" s="321">
        <v>7</v>
      </c>
      <c r="I5" s="313">
        <v>8</v>
      </c>
    </row>
    <row r="6" spans="1:9" ht="43.2" x14ac:dyDescent="0.3">
      <c r="A6" s="1" t="s">
        <v>450</v>
      </c>
      <c r="B6" s="322" t="s">
        <v>213</v>
      </c>
      <c r="C6" s="21" t="s">
        <v>28</v>
      </c>
      <c r="D6" s="22" t="s">
        <v>27</v>
      </c>
      <c r="E6" s="22" t="s">
        <v>214</v>
      </c>
      <c r="F6" s="233" t="s">
        <v>1335</v>
      </c>
      <c r="G6" s="233" t="s">
        <v>216</v>
      </c>
      <c r="H6" s="323"/>
      <c r="I6" s="314" t="s">
        <v>1325</v>
      </c>
    </row>
    <row r="7" spans="1:9" x14ac:dyDescent="0.3">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1">
        <v>100</v>
      </c>
      <c r="I7" s="763"/>
    </row>
    <row r="8" spans="1:9" x14ac:dyDescent="0.3">
      <c r="A8" s="1" t="s">
        <v>452</v>
      </c>
      <c r="B8" s="325" t="s">
        <v>212</v>
      </c>
      <c r="C8" s="28" t="str">
        <f>Sąrašai!B9</f>
        <v>LEADER-20VVG-02</v>
      </c>
      <c r="D8" s="375" t="str">
        <f>Sąrašai!A9</f>
        <v>Ne žemės ūkio verslo plėtra</v>
      </c>
      <c r="E8" s="147">
        <f>COUNTIFS('7'!$H$7:$H$26,C8)</f>
        <v>0</v>
      </c>
      <c r="F8" s="237">
        <f>SUMIFS('7'!$F$7:$F$26,'7'!$H$7:$H$26,C8)</f>
        <v>0</v>
      </c>
      <c r="G8" s="236">
        <f t="shared" si="0"/>
        <v>0</v>
      </c>
      <c r="H8" s="762"/>
      <c r="I8" s="764"/>
    </row>
    <row r="9" spans="1:9" x14ac:dyDescent="0.3">
      <c r="A9" s="1" t="s">
        <v>453</v>
      </c>
      <c r="B9" s="325" t="s">
        <v>212</v>
      </c>
      <c r="C9" s="28" t="str">
        <f>Sąrašai!B10</f>
        <v>LEADER-20VVG-03</v>
      </c>
      <c r="D9" s="375" t="str">
        <f>Sąrašai!A10</f>
        <v>Ne žemės ūkio verslo kūrimas ir plėtra</v>
      </c>
      <c r="E9" s="147">
        <f>COUNTIFS('7'!$H$7:$H$26,C9)</f>
        <v>1</v>
      </c>
      <c r="F9" s="237">
        <f>SUMIFS('7'!$F$7:$F$26,'7'!$H$7:$H$26,C9)</f>
        <v>280000</v>
      </c>
      <c r="G9" s="236">
        <f t="shared" si="0"/>
        <v>23.412643663744266</v>
      </c>
      <c r="H9" s="762"/>
      <c r="I9" s="764"/>
    </row>
    <row r="10" spans="1:9" ht="28.8" x14ac:dyDescent="0.3">
      <c r="A10" s="1" t="s">
        <v>454</v>
      </c>
      <c r="B10" s="325" t="s">
        <v>212</v>
      </c>
      <c r="C10" s="28" t="str">
        <f>Sąrašai!B11</f>
        <v>LEADER-20VVG-04</v>
      </c>
      <c r="D10" s="375" t="str">
        <f>Sąrašai!A11</f>
        <v>Ūkio subjektų (fizinių ir (arba) juridinių asmenų) bendradarbiavimas</v>
      </c>
      <c r="E10" s="147">
        <f>COUNTIFS('7'!$H$7:$H$26,C10)</f>
        <v>1</v>
      </c>
      <c r="F10" s="237">
        <f>SUMIFS('7'!$F$7:$F$26,'7'!$H$7:$H$26,C10)</f>
        <v>100001</v>
      </c>
      <c r="G10" s="236">
        <f t="shared" si="0"/>
        <v>8.3617420679217513</v>
      </c>
      <c r="H10" s="762"/>
      <c r="I10" s="764"/>
    </row>
    <row r="11" spans="1:9" x14ac:dyDescent="0.3">
      <c r="A11" s="1" t="s">
        <v>455</v>
      </c>
      <c r="B11" s="325" t="s">
        <v>212</v>
      </c>
      <c r="C11" s="28" t="str">
        <f>Sąrašai!B12</f>
        <v>LEADER-20VVG-05</v>
      </c>
      <c r="D11" s="375" t="str">
        <f>Sąrašai!A12</f>
        <v>Žemės ūkio verslas</v>
      </c>
      <c r="E11" s="147">
        <f>COUNTIFS('7'!$H$7:$H$26,C11)</f>
        <v>1</v>
      </c>
      <c r="F11" s="237">
        <f>SUMIFS('7'!$F$7:$F$26,'7'!$H$7:$H$26,C11)</f>
        <v>140000</v>
      </c>
      <c r="G11" s="236">
        <f t="shared" si="0"/>
        <v>11.706321831872133</v>
      </c>
      <c r="H11" s="762"/>
      <c r="I11" s="764"/>
    </row>
    <row r="12" spans="1:9" x14ac:dyDescent="0.3">
      <c r="A12" s="1" t="s">
        <v>481</v>
      </c>
      <c r="B12" s="325" t="s">
        <v>212</v>
      </c>
      <c r="C12" s="28" t="str">
        <f>Sąrašai!B13</f>
        <v>LEADER-20VVG-06</v>
      </c>
      <c r="D12" s="375" t="str">
        <f>Sąrašai!A13</f>
        <v>Socialinis verslas</v>
      </c>
      <c r="E12" s="147">
        <f>COUNTIFS('7'!$H$7:$H$26,C12)</f>
        <v>1</v>
      </c>
      <c r="F12" s="237">
        <f>SUMIFS('7'!$F$7:$F$26,'7'!$H$7:$H$26,C12)</f>
        <v>200000</v>
      </c>
      <c r="G12" s="236">
        <f t="shared" si="0"/>
        <v>16.723316902674476</v>
      </c>
      <c r="H12" s="762"/>
      <c r="I12" s="764"/>
    </row>
    <row r="13" spans="1:9" x14ac:dyDescent="0.3">
      <c r="A13" s="1" t="s">
        <v>482</v>
      </c>
      <c r="B13" s="325" t="s">
        <v>212</v>
      </c>
      <c r="C13" s="28" t="str">
        <f>Sąrašai!B14</f>
        <v>LEADER-20VVG-07</v>
      </c>
      <c r="D13" s="375" t="str">
        <f>Sąrašai!A14</f>
        <v>Bendruomeninis verslas</v>
      </c>
      <c r="E13" s="147">
        <f>COUNTIFS('7'!$H$7:$H$26,C13)</f>
        <v>1</v>
      </c>
      <c r="F13" s="237">
        <f>SUMIFS('7'!$F$7:$F$26,'7'!$H$7:$H$26,C13)</f>
        <v>100000</v>
      </c>
      <c r="G13" s="236">
        <f t="shared" si="0"/>
        <v>8.3616584513372381</v>
      </c>
      <c r="H13" s="762"/>
      <c r="I13" s="764"/>
    </row>
    <row r="14" spans="1:9" x14ac:dyDescent="0.3">
      <c r="A14" s="1" t="s">
        <v>483</v>
      </c>
      <c r="B14" s="325" t="s">
        <v>212</v>
      </c>
      <c r="C14" s="28" t="str">
        <f>Sąrašai!B15</f>
        <v>LEADER-20VVG-08</v>
      </c>
      <c r="D14" s="375" t="str">
        <f>Sąrašai!A15</f>
        <v>Viešųjų paslaugų prieinamumo didinimas (ne pelno)</v>
      </c>
      <c r="E14" s="147">
        <f>COUNTIFS('7'!$H$7:$H$26,C14)</f>
        <v>0</v>
      </c>
      <c r="F14" s="237">
        <f>SUMIFS('7'!$F$7:$F$26,'7'!$H$7:$H$26,C14)</f>
        <v>0</v>
      </c>
      <c r="G14" s="236">
        <f t="shared" ref="G14" si="1">F14/$F$21*100</f>
        <v>0</v>
      </c>
      <c r="H14" s="762"/>
      <c r="I14" s="764"/>
    </row>
    <row r="15" spans="1:9" x14ac:dyDescent="0.3">
      <c r="A15" s="1" t="s">
        <v>484</v>
      </c>
      <c r="B15" s="325" t="s">
        <v>212</v>
      </c>
      <c r="C15" s="28" t="str">
        <f>Sąrašai!B16</f>
        <v>LEADER-20VVG-09</v>
      </c>
      <c r="D15" s="375" t="str">
        <f>Sąrašai!A16</f>
        <v>Veiklos projektai</v>
      </c>
      <c r="E15" s="147">
        <f>COUNTIFS('7'!$H$7:$H$26,C15)</f>
        <v>3</v>
      </c>
      <c r="F15" s="237">
        <f>SUMIFS('7'!$F$7:$F$26,'7'!$H$7:$H$26,C15)</f>
        <v>295934</v>
      </c>
      <c r="G15" s="236">
        <f t="shared" si="0"/>
        <v>24.744990321380342</v>
      </c>
      <c r="H15" s="762"/>
      <c r="I15" s="764"/>
    </row>
    <row r="16" spans="1:9" x14ac:dyDescent="0.3">
      <c r="A16" s="1" t="s">
        <v>485</v>
      </c>
      <c r="B16" s="326" t="s">
        <v>212</v>
      </c>
      <c r="C16" s="26" t="str">
        <f>Sąrašai!B17</f>
        <v>LEADER-20VVG-10</v>
      </c>
      <c r="D16" s="376" t="str">
        <f>Sąrašai!A17</f>
        <v>Mokymų projektai</v>
      </c>
      <c r="E16" s="166">
        <f>COUNTIFS('7'!$H$7:$H$26,C16)</f>
        <v>1</v>
      </c>
      <c r="F16" s="238">
        <f>SUMIFS('7'!$F$7:$F$26,'7'!$H$7:$H$26,C16)</f>
        <v>80000</v>
      </c>
      <c r="G16" s="239">
        <f t="shared" si="0"/>
        <v>6.6893267610697897</v>
      </c>
      <c r="H16" s="762"/>
      <c r="I16" s="764"/>
    </row>
    <row r="17" spans="1:9" x14ac:dyDescent="0.3">
      <c r="A17" s="1" t="s">
        <v>486</v>
      </c>
      <c r="B17" s="324" t="s">
        <v>215</v>
      </c>
      <c r="C17" s="23" t="str">
        <f>Sąrašai!B18</f>
        <v>LEADER-20VVG-11</v>
      </c>
      <c r="D17" s="374" t="str">
        <f>Sąrašai!A18</f>
        <v>Teritorinis VVG bendradarbiavimas</v>
      </c>
      <c r="E17" s="234">
        <f>COUNTIFS('7'!$H$7:$H$26,C17)</f>
        <v>0</v>
      </c>
      <c r="F17" s="240">
        <f>SUMIFS('7'!$F$7:$F$26,'7'!$H$7:$H$26,C17)</f>
        <v>0</v>
      </c>
      <c r="G17" s="236">
        <f>F17/$F$22*100</f>
        <v>0</v>
      </c>
      <c r="H17" s="762">
        <v>100</v>
      </c>
      <c r="I17" s="764"/>
    </row>
    <row r="18" spans="1:9" x14ac:dyDescent="0.3">
      <c r="A18" s="1" t="s">
        <v>487</v>
      </c>
      <c r="B18" s="326" t="s">
        <v>215</v>
      </c>
      <c r="C18" s="26" t="str">
        <f>Sąrašai!B19</f>
        <v>LEADER-20VVG-12</v>
      </c>
      <c r="D18" s="376" t="str">
        <f>Sąrašai!A19</f>
        <v>Tarptautinis VVG bendradarbiavimas</v>
      </c>
      <c r="E18" s="166">
        <f>COUNTIFS('7'!$H$7:$H$26,C18)</f>
        <v>1</v>
      </c>
      <c r="F18" s="241">
        <f>SUMIFS('7'!$F$7:$F$26,'7'!$H$7:$H$26,C18)</f>
        <v>10000</v>
      </c>
      <c r="G18" s="236">
        <f t="shared" ref="G18:G20" si="2">F18/$F$22*100</f>
        <v>3.3446605838439516</v>
      </c>
      <c r="H18" s="762"/>
      <c r="I18" s="764"/>
    </row>
    <row r="19" spans="1:9" x14ac:dyDescent="0.3">
      <c r="A19" s="1" t="s">
        <v>488</v>
      </c>
      <c r="B19" s="325" t="s">
        <v>215</v>
      </c>
      <c r="C19" s="28" t="s">
        <v>149</v>
      </c>
      <c r="D19" s="375" t="s">
        <v>210</v>
      </c>
      <c r="E19" s="147">
        <f>COUNTIFS('7'!$H$7:$H$26,C19)</f>
        <v>0</v>
      </c>
      <c r="F19" s="242">
        <v>189284</v>
      </c>
      <c r="G19" s="236">
        <f t="shared" si="2"/>
        <v>63.309073395231849</v>
      </c>
      <c r="H19" s="762"/>
      <c r="I19" s="764"/>
    </row>
    <row r="20" spans="1:9" x14ac:dyDescent="0.3">
      <c r="A20" s="1" t="s">
        <v>489</v>
      </c>
      <c r="B20" s="325" t="s">
        <v>215</v>
      </c>
      <c r="C20" s="28" t="s">
        <v>149</v>
      </c>
      <c r="D20" s="375" t="s">
        <v>211</v>
      </c>
      <c r="E20" s="147">
        <f>COUNTIFS('7'!$H$7:$H$26,C20)</f>
        <v>0</v>
      </c>
      <c r="F20" s="242">
        <v>99700</v>
      </c>
      <c r="G20" s="236">
        <f t="shared" si="2"/>
        <v>33.346266020924197</v>
      </c>
      <c r="H20" s="762"/>
      <c r="I20" s="765"/>
    </row>
    <row r="21" spans="1:9" x14ac:dyDescent="0.3">
      <c r="A21" s="1" t="s">
        <v>490</v>
      </c>
      <c r="B21" s="324" t="s">
        <v>217</v>
      </c>
      <c r="C21" s="23"/>
      <c r="D21" s="243"/>
      <c r="E21" s="24"/>
      <c r="F21" s="235">
        <f>SUM(F7:F16)</f>
        <v>1195935</v>
      </c>
      <c r="G21" s="244">
        <f>F21/$F$23*100</f>
        <v>79.999986621348711</v>
      </c>
      <c r="H21" s="762">
        <v>100</v>
      </c>
      <c r="I21" s="315" t="str">
        <f>IF((F21/$F$23)&lt;0.8,"Vietos projektų įgyvendinimo išlaidos turi sudaryti 80 proc. Tikslinti 10 lapo 10.27 punktą.","Gerai")</f>
        <v>Vietos projektų įgyvendinimo išlaidos turi sudaryti 80 proc. Tikslinti 10 lapo 10.27 punktą.</v>
      </c>
    </row>
    <row r="22" spans="1:9" x14ac:dyDescent="0.3">
      <c r="A22" s="1" t="s">
        <v>491</v>
      </c>
      <c r="B22" s="326" t="s">
        <v>220</v>
      </c>
      <c r="C22" s="26"/>
      <c r="D22" s="245"/>
      <c r="E22" s="246"/>
      <c r="F22" s="238">
        <f>SUM(F17:F20)</f>
        <v>298984</v>
      </c>
      <c r="G22" s="239">
        <f>F22/$F$23*100</f>
        <v>20.000013378651285</v>
      </c>
      <c r="H22" s="762"/>
      <c r="I22" s="316" t="str">
        <f>IF((F22/$F$23)&gt;0.2,"VPS administravimo išlaidos turi sudaryti 20 proc. Tikslinti 16.13 ir 16.14 punktus.","Gerai")</f>
        <v>VPS administravimo išlaidos turi sudaryti 20 proc. Tikslinti 16.13 ir 16.14 punktus.</v>
      </c>
    </row>
    <row r="23" spans="1:9" ht="15" thickBot="1" x14ac:dyDescent="0.35">
      <c r="A23" s="1" t="s">
        <v>1703</v>
      </c>
      <c r="B23" s="327" t="s">
        <v>160</v>
      </c>
      <c r="C23" s="328"/>
      <c r="D23" s="329"/>
      <c r="E23" s="330"/>
      <c r="F23" s="331">
        <f>SUM(F21:F22)</f>
        <v>1494919</v>
      </c>
      <c r="G23" s="332">
        <f>SUM(G21:G22)</f>
        <v>100</v>
      </c>
      <c r="H23" s="333">
        <v>100</v>
      </c>
      <c r="I23" s="317"/>
    </row>
    <row r="26" spans="1:9" x14ac:dyDescent="0.3">
      <c r="C26" s="1">
        <v>1</v>
      </c>
      <c r="D26" s="311" t="s">
        <v>1352</v>
      </c>
    </row>
    <row r="27" spans="1:9" x14ac:dyDescent="0.3">
      <c r="C27" s="1">
        <v>2</v>
      </c>
      <c r="D27" s="312" t="s">
        <v>1705</v>
      </c>
    </row>
    <row r="28" spans="1:9" ht="28.8" x14ac:dyDescent="0.3">
      <c r="C28" s="1">
        <v>3</v>
      </c>
      <c r="D28" s="312" t="s">
        <v>1336</v>
      </c>
    </row>
    <row r="29" spans="1:9" ht="57.6" x14ac:dyDescent="0.3">
      <c r="C29" s="1">
        <v>4</v>
      </c>
      <c r="D29" s="335" t="s">
        <v>1337</v>
      </c>
    </row>
    <row r="30" spans="1:9" ht="57.6" x14ac:dyDescent="0.3">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xr:uid="{00000000-0002-0000-1000-000000000000}">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3"/>
  <sheetViews>
    <sheetView topLeftCell="B3" zoomScaleNormal="100" workbookViewId="0">
      <selection activeCell="D14" sqref="D14"/>
    </sheetView>
  </sheetViews>
  <sheetFormatPr defaultColWidth="9.109375" defaultRowHeight="14.4" x14ac:dyDescent="0.3"/>
  <cols>
    <col min="1" max="1" width="8.6640625" style="81" customWidth="1"/>
    <col min="2" max="2" width="65.6640625" style="10" customWidth="1"/>
    <col min="3" max="3" width="15.6640625" style="10" customWidth="1"/>
    <col min="4" max="9" width="12.6640625" style="10" customWidth="1"/>
    <col min="10" max="10" width="15.6640625" style="10" customWidth="1"/>
    <col min="11" max="11" width="46.109375" style="10" customWidth="1"/>
    <col min="12" max="16384" width="9.109375" style="10"/>
  </cols>
  <sheetData>
    <row r="1" spans="1:11" s="80" customFormat="1" ht="18" x14ac:dyDescent="0.35">
      <c r="A1" s="83" t="s">
        <v>637</v>
      </c>
      <c r="B1" s="83" t="s">
        <v>431</v>
      </c>
      <c r="C1" s="83"/>
      <c r="D1" s="83"/>
      <c r="E1" s="83"/>
      <c r="F1" s="83"/>
      <c r="G1" s="83"/>
      <c r="H1" s="83"/>
      <c r="I1" s="83"/>
      <c r="J1" s="83"/>
      <c r="K1" s="83"/>
    </row>
    <row r="2" spans="1:11" x14ac:dyDescent="0.3">
      <c r="A2" s="84"/>
      <c r="B2"/>
      <c r="C2"/>
      <c r="D2"/>
      <c r="E2"/>
      <c r="F2"/>
      <c r="G2"/>
      <c r="H2"/>
      <c r="I2"/>
      <c r="J2"/>
      <c r="K2"/>
    </row>
    <row r="3" spans="1:11" s="13" customFormat="1" x14ac:dyDescent="0.3">
      <c r="A3" s="1"/>
      <c r="B3" s="140" t="s">
        <v>1272</v>
      </c>
      <c r="C3" s="205" t="str">
        <f>'1'!C8</f>
        <v>TRAK</v>
      </c>
      <c r="D3" s="1"/>
      <c r="E3" s="1"/>
      <c r="F3" s="1"/>
      <c r="G3" s="1"/>
      <c r="H3" s="1"/>
      <c r="I3" s="1"/>
      <c r="J3" s="1"/>
      <c r="K3" s="1"/>
    </row>
    <row r="4" spans="1:11" customFormat="1" ht="15" thickBot="1" x14ac:dyDescent="0.35"/>
    <row r="5" spans="1:11" x14ac:dyDescent="0.3">
      <c r="A5" s="84"/>
      <c r="B5" s="294">
        <v>1</v>
      </c>
      <c r="C5" s="295">
        <v>2</v>
      </c>
      <c r="D5" s="296">
        <v>3</v>
      </c>
      <c r="E5" s="270">
        <v>4</v>
      </c>
      <c r="F5" s="270">
        <v>5</v>
      </c>
      <c r="G5" s="270">
        <v>6</v>
      </c>
      <c r="H5" s="270">
        <v>7</v>
      </c>
      <c r="I5" s="271">
        <v>8</v>
      </c>
      <c r="J5" s="286">
        <v>9</v>
      </c>
      <c r="K5" s="196">
        <v>10</v>
      </c>
    </row>
    <row r="6" spans="1:11" s="81" customFormat="1" ht="43.2" x14ac:dyDescent="0.3">
      <c r="A6" s="84" t="s">
        <v>492</v>
      </c>
      <c r="B6" s="297" t="s">
        <v>213</v>
      </c>
      <c r="C6" s="85" t="s">
        <v>1296</v>
      </c>
      <c r="D6" s="86" t="s">
        <v>100</v>
      </c>
      <c r="E6" s="85" t="s">
        <v>101</v>
      </c>
      <c r="F6" s="85" t="s">
        <v>102</v>
      </c>
      <c r="G6" s="85" t="s">
        <v>103</v>
      </c>
      <c r="H6" s="85" t="s">
        <v>104</v>
      </c>
      <c r="I6" s="298" t="s">
        <v>105</v>
      </c>
      <c r="J6" s="287" t="s">
        <v>1271</v>
      </c>
      <c r="K6" s="202" t="s">
        <v>1104</v>
      </c>
    </row>
    <row r="7" spans="1:11" x14ac:dyDescent="0.3">
      <c r="A7" s="84" t="s">
        <v>493</v>
      </c>
      <c r="B7" s="299" t="s">
        <v>448</v>
      </c>
      <c r="C7" s="5"/>
      <c r="D7" s="766"/>
      <c r="E7" s="766"/>
      <c r="F7" s="766"/>
      <c r="G7" s="766"/>
      <c r="H7" s="766"/>
      <c r="I7" s="767"/>
      <c r="J7" s="288"/>
      <c r="K7" s="195"/>
    </row>
    <row r="8" spans="1:11" x14ac:dyDescent="0.3">
      <c r="A8" s="84" t="s">
        <v>494</v>
      </c>
      <c r="B8" s="300" t="s">
        <v>212</v>
      </c>
      <c r="C8" s="261">
        <f>'16'!F21</f>
        <v>1195935</v>
      </c>
      <c r="D8" s="213">
        <f>SUM('15'!G28:I28)</f>
        <v>140000</v>
      </c>
      <c r="E8" s="213">
        <f>SUM('15'!J28:M28)</f>
        <v>433967</v>
      </c>
      <c r="F8" s="213">
        <f>SUM('15'!N28:Q28)</f>
        <v>419968</v>
      </c>
      <c r="G8" s="213">
        <f>SUM('15'!R28:U28)</f>
        <v>168000</v>
      </c>
      <c r="H8" s="213">
        <f>SUM('15'!V28:Y28)</f>
        <v>34000</v>
      </c>
      <c r="I8" s="301">
        <f>SUM('15'!Z28:AD28)</f>
        <v>0</v>
      </c>
      <c r="J8" s="289">
        <f>SUM(D8:I8)</f>
        <v>1195935</v>
      </c>
      <c r="K8" s="195" t="str">
        <f>IF(C8=J8,"Gerai","Nesutampa sumos (2 ir 9 stulpeliai). Taisyti 15 lape.")</f>
        <v>Gerai</v>
      </c>
    </row>
    <row r="9" spans="1:11" x14ac:dyDescent="0.3">
      <c r="A9" s="84" t="s">
        <v>495</v>
      </c>
      <c r="B9" s="302" t="s">
        <v>432</v>
      </c>
      <c r="C9" s="261">
        <f>'16'!F22-C10</f>
        <v>288984</v>
      </c>
      <c r="D9" s="213">
        <f>$C9*D14/100</f>
        <v>0</v>
      </c>
      <c r="E9" s="213">
        <f t="shared" ref="E9:I9" si="0">$C9*E14/100</f>
        <v>0</v>
      </c>
      <c r="F9" s="213">
        <f t="shared" si="0"/>
        <v>0</v>
      </c>
      <c r="G9" s="213">
        <f t="shared" si="0"/>
        <v>0</v>
      </c>
      <c r="H9" s="213">
        <f t="shared" si="0"/>
        <v>0</v>
      </c>
      <c r="I9" s="301">
        <f t="shared" si="0"/>
        <v>0</v>
      </c>
      <c r="J9" s="289"/>
      <c r="K9" s="195"/>
    </row>
    <row r="10" spans="1:11" x14ac:dyDescent="0.3">
      <c r="A10" s="84" t="s">
        <v>496</v>
      </c>
      <c r="B10" s="302" t="s">
        <v>1644</v>
      </c>
      <c r="C10" s="261">
        <f>'7'!F28</f>
        <v>10000</v>
      </c>
      <c r="D10" s="213">
        <f>$C10*D15/100</f>
        <v>0</v>
      </c>
      <c r="E10" s="213">
        <f t="shared" ref="E10:I10" si="1">$C10*E15/100</f>
        <v>0</v>
      </c>
      <c r="F10" s="213">
        <f t="shared" si="1"/>
        <v>0</v>
      </c>
      <c r="G10" s="213">
        <f t="shared" si="1"/>
        <v>0</v>
      </c>
      <c r="H10" s="213">
        <f t="shared" si="1"/>
        <v>0</v>
      </c>
      <c r="I10" s="301">
        <f t="shared" si="1"/>
        <v>0</v>
      </c>
      <c r="J10" s="289"/>
      <c r="K10" s="195"/>
    </row>
    <row r="11" spans="1:11" s="82" customFormat="1" x14ac:dyDescent="0.3">
      <c r="A11" s="84" t="s">
        <v>497</v>
      </c>
      <c r="B11" s="303" t="s">
        <v>160</v>
      </c>
      <c r="C11" s="87">
        <f>SUM(C8:C10)</f>
        <v>1494919</v>
      </c>
      <c r="D11" s="87">
        <f>SUM(D8:D10)</f>
        <v>140000</v>
      </c>
      <c r="E11" s="87">
        <f t="shared" ref="E11:I11" si="2">SUM(E8:E10)</f>
        <v>433967</v>
      </c>
      <c r="F11" s="87">
        <f t="shared" si="2"/>
        <v>419968</v>
      </c>
      <c r="G11" s="87">
        <f t="shared" si="2"/>
        <v>168000</v>
      </c>
      <c r="H11" s="87">
        <f t="shared" si="2"/>
        <v>34000</v>
      </c>
      <c r="I11" s="304">
        <f t="shared" si="2"/>
        <v>0</v>
      </c>
      <c r="J11" s="290"/>
      <c r="K11" s="214"/>
    </row>
    <row r="12" spans="1:11" x14ac:dyDescent="0.3">
      <c r="A12" s="84" t="s">
        <v>645</v>
      </c>
      <c r="B12" s="305" t="s">
        <v>449</v>
      </c>
      <c r="C12" s="7"/>
      <c r="D12" s="766"/>
      <c r="E12" s="766"/>
      <c r="F12" s="766"/>
      <c r="G12" s="766"/>
      <c r="H12" s="766"/>
      <c r="I12" s="767"/>
      <c r="J12" s="290"/>
      <c r="K12" s="214"/>
    </row>
    <row r="13" spans="1:11" x14ac:dyDescent="0.3">
      <c r="A13" s="84" t="s">
        <v>646</v>
      </c>
      <c r="B13" s="300" t="s">
        <v>212</v>
      </c>
      <c r="C13" s="262">
        <f>SUM(D13:I13)</f>
        <v>100</v>
      </c>
      <c r="D13" s="212">
        <f>D8/$C$8*100</f>
        <v>11.706321831872133</v>
      </c>
      <c r="E13" s="212">
        <f t="shared" ref="E13:I13" si="3">E8/$C$8*100</f>
        <v>36.286838331514673</v>
      </c>
      <c r="F13" s="212">
        <f t="shared" si="3"/>
        <v>35.116289764911976</v>
      </c>
      <c r="G13" s="212">
        <f t="shared" si="3"/>
        <v>14.04758619824656</v>
      </c>
      <c r="H13" s="212">
        <f t="shared" si="3"/>
        <v>2.8429638734546612</v>
      </c>
      <c r="I13" s="306">
        <f t="shared" si="3"/>
        <v>0</v>
      </c>
      <c r="J13" s="289">
        <f t="shared" ref="J13" si="4">SUM(D13:I13)</f>
        <v>100</v>
      </c>
      <c r="K13" s="195" t="str">
        <f>IF(C13=100,"Gerai","3-8 stulpelių suma turi būti 100")</f>
        <v>Gerai</v>
      </c>
    </row>
    <row r="14" spans="1:11" x14ac:dyDescent="0.3">
      <c r="A14" s="84" t="s">
        <v>647</v>
      </c>
      <c r="B14" s="302" t="s">
        <v>432</v>
      </c>
      <c r="C14" s="262">
        <f>SUM(D14:I14)</f>
        <v>0</v>
      </c>
      <c r="D14" s="215"/>
      <c r="E14" s="215"/>
      <c r="F14" s="215"/>
      <c r="G14" s="215"/>
      <c r="H14" s="215"/>
      <c r="I14" s="307"/>
      <c r="J14" s="289">
        <f t="shared" ref="J14:J15" si="5">SUM(D14:I14)</f>
        <v>0</v>
      </c>
      <c r="K14" s="195" t="str">
        <f>IF(C14=100,"Gerai","3-8 stulpelių suma turi būti 100")</f>
        <v>3-8 stulpelių suma turi būti 100</v>
      </c>
    </row>
    <row r="15" spans="1:11" x14ac:dyDescent="0.3">
      <c r="A15" s="84" t="s">
        <v>648</v>
      </c>
      <c r="B15" s="302" t="s">
        <v>1644</v>
      </c>
      <c r="C15" s="262">
        <f>SUM(D15:I15)</f>
        <v>0</v>
      </c>
      <c r="D15" s="215"/>
      <c r="E15" s="215"/>
      <c r="F15" s="215"/>
      <c r="G15" s="215"/>
      <c r="H15" s="215"/>
      <c r="I15" s="307"/>
      <c r="J15" s="289">
        <f t="shared" si="5"/>
        <v>0</v>
      </c>
      <c r="K15" s="195" t="str">
        <f>IF(C15=100,"Gerai","3-8 stulpelių suma turi būti 100")</f>
        <v>3-8 stulpelių suma turi būti 100</v>
      </c>
    </row>
    <row r="16" spans="1:11" s="82" customFormat="1" ht="15" thickBot="1" x14ac:dyDescent="0.35">
      <c r="A16" s="193" t="s">
        <v>1198</v>
      </c>
      <c r="B16" s="308" t="s">
        <v>160</v>
      </c>
      <c r="C16" s="309">
        <f>SUM(D16:I16)</f>
        <v>79.999986621348725</v>
      </c>
      <c r="D16" s="309">
        <f>D11/$C$11*100</f>
        <v>9.3650558993497306</v>
      </c>
      <c r="E16" s="309">
        <f t="shared" ref="E16:I16" si="6">E11/$C$11*100</f>
        <v>29.029465810522176</v>
      </c>
      <c r="F16" s="309">
        <f t="shared" si="6"/>
        <v>28.093027113843625</v>
      </c>
      <c r="G16" s="309">
        <f t="shared" si="6"/>
        <v>11.238067079219677</v>
      </c>
      <c r="H16" s="309">
        <f t="shared" si="6"/>
        <v>2.2743707184135058</v>
      </c>
      <c r="I16" s="310">
        <f t="shared" si="6"/>
        <v>0</v>
      </c>
      <c r="J16" s="290"/>
      <c r="K16" s="214"/>
    </row>
    <row r="17" spans="1:11" x14ac:dyDescent="0.3">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3"/>
    <row r="20" spans="1:11" x14ac:dyDescent="0.3">
      <c r="A20" s="193">
        <v>1</v>
      </c>
      <c r="B20" s="311" t="s">
        <v>1351</v>
      </c>
    </row>
    <row r="21" spans="1:11" ht="28.8" x14ac:dyDescent="0.3">
      <c r="A21" s="193">
        <v>2</v>
      </c>
      <c r="B21" s="312" t="s">
        <v>1333</v>
      </c>
    </row>
    <row r="22" spans="1:11" ht="100.8" x14ac:dyDescent="0.3">
      <c r="A22" s="193">
        <v>3</v>
      </c>
      <c r="B22" s="312" t="s">
        <v>1637</v>
      </c>
    </row>
    <row r="23" spans="1:11" ht="115.2" x14ac:dyDescent="0.3">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xr:uid="{00000000-0002-0000-1100-000000000000}">
      <formula1>0</formula1>
      <formula2>2000000</formula2>
    </dataValidation>
    <dataValidation type="decimal" allowBlank="1" showInputMessage="1" showErrorMessage="1" prompt="Įveskite skaičių nuo 0 iki 100." sqref="D14:I15" xr:uid="{00000000-0002-0000-1100-000001000000}">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9"/>
  <sheetViews>
    <sheetView topLeftCell="A3" zoomScaleNormal="100" workbookViewId="0">
      <selection activeCell="E20" sqref="E20"/>
    </sheetView>
  </sheetViews>
  <sheetFormatPr defaultColWidth="9.109375" defaultRowHeight="14.4" x14ac:dyDescent="0.3"/>
  <cols>
    <col min="1" max="1" width="9.109375" style="10"/>
    <col min="2" max="2" width="50.6640625" style="10" customWidth="1"/>
    <col min="3" max="4" width="12.6640625" style="95" customWidth="1"/>
    <col min="5" max="5" width="35" style="220" customWidth="1"/>
    <col min="6" max="16384" width="9.109375" style="10"/>
  </cols>
  <sheetData>
    <row r="1" spans="1:5" s="51" customFormat="1" ht="18" x14ac:dyDescent="0.35">
      <c r="A1" s="39" t="s">
        <v>662</v>
      </c>
      <c r="B1" s="39" t="s">
        <v>674</v>
      </c>
      <c r="C1" s="203"/>
      <c r="D1" s="203"/>
      <c r="E1" s="217"/>
    </row>
    <row r="2" spans="1:5" x14ac:dyDescent="0.3">
      <c r="A2"/>
      <c r="B2"/>
      <c r="C2" s="168"/>
      <c r="D2" s="168"/>
      <c r="E2" s="218"/>
    </row>
    <row r="3" spans="1:5" s="13" customFormat="1" x14ac:dyDescent="0.3">
      <c r="A3" s="1"/>
      <c r="B3" s="140" t="s">
        <v>1272</v>
      </c>
      <c r="C3" s="205" t="str">
        <f>'1'!C8</f>
        <v>TRAK</v>
      </c>
      <c r="D3" s="1"/>
      <c r="E3" s="193"/>
    </row>
    <row r="4" spans="1:5" customFormat="1" ht="15" thickBot="1" x14ac:dyDescent="0.35">
      <c r="E4" s="84"/>
    </row>
    <row r="5" spans="1:5" customFormat="1" x14ac:dyDescent="0.3">
      <c r="B5" s="269">
        <v>1</v>
      </c>
      <c r="C5" s="270">
        <v>2</v>
      </c>
      <c r="D5" s="271">
        <v>3</v>
      </c>
      <c r="E5" s="167">
        <v>4</v>
      </c>
    </row>
    <row r="6" spans="1:5" x14ac:dyDescent="0.3">
      <c r="A6" t="s">
        <v>663</v>
      </c>
      <c r="B6" s="272" t="s">
        <v>1121</v>
      </c>
      <c r="C6" s="204">
        <v>17</v>
      </c>
      <c r="D6" s="273" t="s">
        <v>1331</v>
      </c>
      <c r="E6" s="263"/>
    </row>
    <row r="7" spans="1:5" x14ac:dyDescent="0.3">
      <c r="A7" t="s">
        <v>664</v>
      </c>
      <c r="B7" s="274" t="s">
        <v>675</v>
      </c>
      <c r="C7" s="168"/>
      <c r="D7" s="275"/>
      <c r="E7" s="218"/>
    </row>
    <row r="8" spans="1:5" s="12" customFormat="1" ht="28.8" x14ac:dyDescent="0.3">
      <c r="A8" t="s">
        <v>665</v>
      </c>
      <c r="B8" s="276" t="s">
        <v>687</v>
      </c>
      <c r="C8" s="221" t="s">
        <v>676</v>
      </c>
      <c r="D8" s="277" t="s">
        <v>677</v>
      </c>
      <c r="E8" s="264" t="s">
        <v>1104</v>
      </c>
    </row>
    <row r="9" spans="1:5" x14ac:dyDescent="0.3">
      <c r="A9" t="s">
        <v>666</v>
      </c>
      <c r="B9" s="278" t="s">
        <v>1098</v>
      </c>
      <c r="C9" s="222">
        <v>3</v>
      </c>
      <c r="D9" s="279">
        <f>C9/$C$13*100</f>
        <v>17.647058823529413</v>
      </c>
      <c r="E9" s="265"/>
    </row>
    <row r="10" spans="1:5" x14ac:dyDescent="0.3">
      <c r="A10" t="s">
        <v>667</v>
      </c>
      <c r="B10" s="278" t="s">
        <v>1099</v>
      </c>
      <c r="C10" s="222">
        <v>7</v>
      </c>
      <c r="D10" s="279">
        <f t="shared" ref="D10:D12" si="0">C10/$C$13*100</f>
        <v>41.17647058823529</v>
      </c>
      <c r="E10" s="266"/>
    </row>
    <row r="11" spans="1:5" x14ac:dyDescent="0.3">
      <c r="A11" t="s">
        <v>668</v>
      </c>
      <c r="B11" s="278" t="s">
        <v>1100</v>
      </c>
      <c r="C11" s="222">
        <v>7</v>
      </c>
      <c r="D11" s="279">
        <f t="shared" si="0"/>
        <v>41.17647058823529</v>
      </c>
      <c r="E11" s="266"/>
    </row>
    <row r="12" spans="1:5" x14ac:dyDescent="0.3">
      <c r="A12" t="s">
        <v>669</v>
      </c>
      <c r="B12" s="278" t="s">
        <v>686</v>
      </c>
      <c r="C12" s="222">
        <v>0</v>
      </c>
      <c r="D12" s="279">
        <f t="shared" si="0"/>
        <v>0</v>
      </c>
      <c r="E12" s="267"/>
    </row>
    <row r="13" spans="1:5" x14ac:dyDescent="0.3">
      <c r="A13" t="s">
        <v>670</v>
      </c>
      <c r="B13" s="280" t="s">
        <v>678</v>
      </c>
      <c r="C13" s="119">
        <f>SUM(C9:C12)</f>
        <v>17</v>
      </c>
      <c r="D13" s="281">
        <f>SUM(D9:D12)</f>
        <v>100</v>
      </c>
      <c r="E13" s="267" t="str">
        <f>IF($C$6=C13,"Gerai","Klaida, nesutampa skaičius iš viso")</f>
        <v>Gerai</v>
      </c>
    </row>
    <row r="14" spans="1:5" x14ac:dyDescent="0.3">
      <c r="A14" t="s">
        <v>671</v>
      </c>
      <c r="B14" s="274" t="s">
        <v>679</v>
      </c>
      <c r="C14" s="168"/>
      <c r="D14" s="275"/>
      <c r="E14" s="218"/>
    </row>
    <row r="15" spans="1:5" s="12" customFormat="1" ht="28.8" x14ac:dyDescent="0.3">
      <c r="A15" t="s">
        <v>1090</v>
      </c>
      <c r="B15" s="276" t="s">
        <v>680</v>
      </c>
      <c r="C15" s="221" t="s">
        <v>676</v>
      </c>
      <c r="D15" s="277" t="s">
        <v>677</v>
      </c>
      <c r="E15" s="268" t="s">
        <v>1104</v>
      </c>
    </row>
    <row r="16" spans="1:5" x14ac:dyDescent="0.3">
      <c r="A16" t="s">
        <v>1091</v>
      </c>
      <c r="B16" s="278" t="s">
        <v>681</v>
      </c>
      <c r="C16" s="222">
        <v>8</v>
      </c>
      <c r="D16" s="279">
        <f>C16/$C$18*100</f>
        <v>47.058823529411761</v>
      </c>
      <c r="E16" s="265"/>
    </row>
    <row r="17" spans="1:5" x14ac:dyDescent="0.3">
      <c r="A17" t="s">
        <v>1092</v>
      </c>
      <c r="B17" s="278" t="s">
        <v>682</v>
      </c>
      <c r="C17" s="222">
        <v>9</v>
      </c>
      <c r="D17" s="279">
        <f>C17/$C$18*100</f>
        <v>52.941176470588239</v>
      </c>
      <c r="E17" s="267"/>
    </row>
    <row r="18" spans="1:5" x14ac:dyDescent="0.3">
      <c r="A18" t="s">
        <v>1093</v>
      </c>
      <c r="B18" s="280" t="s">
        <v>678</v>
      </c>
      <c r="C18" s="119">
        <f>SUM(C16:C17)</f>
        <v>17</v>
      </c>
      <c r="D18" s="282">
        <f>SUM(D16:D17)</f>
        <v>100</v>
      </c>
      <c r="E18" s="267" t="str">
        <f>IF($C$6=C18,"Gerai","Klaida, nesutampa skaičius iš viso")</f>
        <v>Gerai</v>
      </c>
    </row>
    <row r="19" spans="1:5" x14ac:dyDescent="0.3">
      <c r="A19" t="s">
        <v>1094</v>
      </c>
      <c r="B19" s="274" t="s">
        <v>683</v>
      </c>
      <c r="C19" s="168"/>
      <c r="D19" s="275"/>
      <c r="E19" s="218"/>
    </row>
    <row r="20" spans="1:5" s="52" customFormat="1" ht="28.8" x14ac:dyDescent="0.3">
      <c r="A20" t="s">
        <v>1095</v>
      </c>
      <c r="B20" s="276" t="s">
        <v>684</v>
      </c>
      <c r="C20" s="221" t="s">
        <v>676</v>
      </c>
      <c r="D20" s="277" t="s">
        <v>677</v>
      </c>
      <c r="E20" s="268" t="s">
        <v>1104</v>
      </c>
    </row>
    <row r="21" spans="1:5" x14ac:dyDescent="0.3">
      <c r="A21" t="s">
        <v>1096</v>
      </c>
      <c r="B21" s="278" t="s">
        <v>1101</v>
      </c>
      <c r="C21" s="222">
        <v>3</v>
      </c>
      <c r="D21" s="279">
        <f>C21/$C$24*100</f>
        <v>17.647058823529413</v>
      </c>
      <c r="E21" s="265"/>
    </row>
    <row r="22" spans="1:5" x14ac:dyDescent="0.3">
      <c r="A22" t="s">
        <v>1103</v>
      </c>
      <c r="B22" s="278" t="s">
        <v>1102</v>
      </c>
      <c r="C22" s="222">
        <v>2</v>
      </c>
      <c r="D22" s="279">
        <f>C22/$C$24*100</f>
        <v>11.76470588235294</v>
      </c>
      <c r="E22" s="266"/>
    </row>
    <row r="23" spans="1:5" x14ac:dyDescent="0.3">
      <c r="A23" t="s">
        <v>1119</v>
      </c>
      <c r="B23" s="278" t="s">
        <v>685</v>
      </c>
      <c r="C23" s="222">
        <v>12</v>
      </c>
      <c r="D23" s="279">
        <f>C23/$C$24*100</f>
        <v>70.588235294117652</v>
      </c>
      <c r="E23" s="267"/>
    </row>
    <row r="24" spans="1:5" ht="15" thickBot="1" x14ac:dyDescent="0.35">
      <c r="A24" t="s">
        <v>1120</v>
      </c>
      <c r="B24" s="283" t="s">
        <v>678</v>
      </c>
      <c r="C24" s="284">
        <f>SUM(C21:C23)</f>
        <v>17</v>
      </c>
      <c r="D24" s="285">
        <f>SUM(D21:D23)</f>
        <v>100</v>
      </c>
      <c r="E24" s="267" t="str">
        <f>IF($C$6=C24,"Gerai","Klaida, nesutampa skaičius iš viso")</f>
        <v>Gerai</v>
      </c>
    </row>
    <row r="27" spans="1:5" x14ac:dyDescent="0.3">
      <c r="A27" s="1">
        <v>1</v>
      </c>
      <c r="B27" s="360" t="s">
        <v>1350</v>
      </c>
    </row>
    <row r="28" spans="1:5" ht="43.2" x14ac:dyDescent="0.3">
      <c r="A28" s="1">
        <v>2</v>
      </c>
      <c r="B28" s="335" t="s">
        <v>1329</v>
      </c>
    </row>
    <row r="29" spans="1:5" ht="43.2" x14ac:dyDescent="0.3">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xr:uid="{00000000-0002-0000-1200-000000000000}">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F343"/>
  <sheetViews>
    <sheetView zoomScaleNormal="100" workbookViewId="0"/>
  </sheetViews>
  <sheetFormatPr defaultColWidth="6.6640625" defaultRowHeight="14.4" x14ac:dyDescent="0.3"/>
  <cols>
    <col min="1" max="1" width="8.6640625" style="2" customWidth="1"/>
    <col min="2" max="2" width="50.6640625" style="1" customWidth="1"/>
    <col min="3" max="3" width="50.6640625" style="41" customWidth="1"/>
    <col min="4" max="192" width="9.109375" style="1" customWidth="1"/>
    <col min="193" max="16384" width="6.6640625" style="1"/>
  </cols>
  <sheetData>
    <row r="1" spans="1:6" s="44" customFormat="1" ht="18" x14ac:dyDescent="0.3">
      <c r="A1" s="116" t="str">
        <f>'4'!A1</f>
        <v>4.</v>
      </c>
      <c r="B1" s="116" t="str">
        <f>'4'!B1</f>
        <v>VVG teritorijos poreikių pagrindimas</v>
      </c>
      <c r="C1" s="225"/>
      <c r="E1" s="108" t="s">
        <v>1512</v>
      </c>
    </row>
    <row r="2" spans="1:6" x14ac:dyDescent="0.3">
      <c r="E2" s="605" t="s">
        <v>1612</v>
      </c>
    </row>
    <row r="3" spans="1:6" x14ac:dyDescent="0.3">
      <c r="A3" s="1"/>
      <c r="B3" s="140" t="s">
        <v>1272</v>
      </c>
      <c r="C3" s="205" t="str">
        <f>'1'!C8</f>
        <v>TRAK</v>
      </c>
      <c r="E3" s="606" t="s">
        <v>1638</v>
      </c>
    </row>
    <row r="4" spans="1:6" customFormat="1" ht="15" thickBot="1" x14ac:dyDescent="0.35">
      <c r="C4" s="41"/>
      <c r="E4" s="605" t="s">
        <v>1639</v>
      </c>
      <c r="F4" s="1"/>
    </row>
    <row r="5" spans="1:6" x14ac:dyDescent="0.3">
      <c r="A5" s="139"/>
      <c r="B5" s="642"/>
      <c r="C5" s="643" t="str">
        <f>'4'!D6</f>
        <v>1 poreikis</v>
      </c>
    </row>
    <row r="6" spans="1:6" ht="43.2" x14ac:dyDescent="0.3">
      <c r="A6" s="2" t="s">
        <v>16</v>
      </c>
      <c r="B6" s="509" t="str">
        <f>'4'!B7</f>
        <v>Poreikis</v>
      </c>
      <c r="C6" s="644" t="str">
        <f>'4'!D7</f>
        <v>Pritaikyti  kraštovaizdį,  kultūros ir gamtos paveldą laisvalaikio, vaikų užimtumo, sveikatingumo, turizmo veikloms.</v>
      </c>
    </row>
    <row r="7" spans="1:6" ht="100.8" x14ac:dyDescent="0.3">
      <c r="A7" s="2" t="s">
        <v>17</v>
      </c>
      <c r="B7" s="509" t="str">
        <f>'4'!B8</f>
        <v>Poreikio sąsaja su stiprybėmis ir (arba) galimybėmis</v>
      </c>
      <c r="C7" s="645" t="str">
        <f>'4'!D8</f>
        <v xml:space="preserve">Siejama su potencialo išnaudojimu,   atsižvelgiant į 1, 2, 3, 4 stiprybes ir 1, 2, 3 ir 4 galimybes. Sutvarkius lauko  erdves atsiras viešosios erdvės įvairioms bendruomeninėms veikloms. Dėl kraštovaizdžio tvarkymo sprendimus priims patys  žmonės, taip jie skatinami labiau tapatintis su teritorija, kur gyvena, dirba bei poilsiauja, prisidėti prie vietos ir regiono savasties bei išskirtinumo įtvirtinimo. </v>
      </c>
    </row>
    <row r="8" spans="1:6" x14ac:dyDescent="0.3">
      <c r="A8" s="2" t="s">
        <v>79</v>
      </c>
      <c r="B8" s="509" t="str">
        <f>'4'!B9</f>
        <v>Poreikio sąsaja su silpnybėmis ir (arba) grėsmėmis</v>
      </c>
      <c r="C8" s="645">
        <f>'4'!D9</f>
        <v>0</v>
      </c>
    </row>
    <row r="9" spans="1:6" ht="115.2" x14ac:dyDescent="0.3">
      <c r="A9" s="2" t="s">
        <v>80</v>
      </c>
      <c r="B9" s="509" t="str">
        <f>'4'!B10</f>
        <v>Poreikio sąsaja su situacijos analizės rodikliais (poreikio dydžio, problemos masto, intervencijos poreikio kiekybinis pagrindimas)</v>
      </c>
      <c r="C9" s="645" t="str">
        <f>'4'!D10</f>
        <v xml:space="preserve">R4, R6. Vandens telkiniai sudaro 5 proc. teritorijos, miškai – apie 48 proc., žemės ūkio naudmenos – 34 proc., saugomų teritorijų plotas apie 22 proc. Šis rodiklis yra gerokai didesnis už vidutinį visos šalies rodiklį – 15,7 proc. ir atspindi pakankamą valstybinio ypač saugomų teritorijų tinklo išvystymą rajone: 3 rezervatai, 44 draustiniai, 1 biosferinis poligonas, 28 „Natura 2000“ teritorijos.  408 kultūros paveldo objektai.  Yra dar daug apleistų, tvarkytinų erdvių. </v>
      </c>
    </row>
    <row r="10" spans="1:6" ht="100.8" x14ac:dyDescent="0.3">
      <c r="A10" s="2" t="s">
        <v>81</v>
      </c>
      <c r="B10" s="509" t="str">
        <f>'4'!B11</f>
        <v>Poreikio sąsaja su aukštesnio lygmens strateginiais dokumentais</v>
      </c>
      <c r="C10" s="645" t="str">
        <f>'4'!D11</f>
        <v xml:space="preserve">Susijęs su Trakų r. savivaldybės žaliojo kurso strategijos iki 2035 m, I pr.  1.1 tiklsu „Pagerinti savivaldybės viešųjų erdvių būklę ir išsaugoti biologinės įvairovės lygį", III pr.  3.3 tiklsu, su 2022-2030 m. Vilniaus regiono plėtros plano 1.2 uždavinio ,,Paskatinti tolygią kūrybinės ekonomikos ir turizmo plėtrą",  ES Baltijos jūros regiono strategijos 2019-2024 m. politikos srities ,,Turizmas" įgyvendinimu. </v>
      </c>
    </row>
    <row r="11" spans="1:6" ht="57.6" x14ac:dyDescent="0.3">
      <c r="A11" s="2" t="s">
        <v>82</v>
      </c>
      <c r="B11" s="509" t="str">
        <f>'4'!B12</f>
        <v>Poreikio sąsaja su VVG teritorijos gyventojų nuomone</v>
      </c>
      <c r="C11" s="645" t="str">
        <f>'4'!D12</f>
        <v>Atsižvelgta į gyventojų nuomonę išsakytą susitikimuose, paeiktą apklausoje (50 proc.). R7, R7.2,  R18,  R20, R30,   Norima burtis ir  dažniau  laisvalaikį leisti gamtos apsuptyje, tačiau jos neužteršti.</v>
      </c>
    </row>
    <row r="12" spans="1:6" x14ac:dyDescent="0.3">
      <c r="A12" s="2" t="s">
        <v>83</v>
      </c>
      <c r="B12" s="509" t="str">
        <f>'4'!B13</f>
        <v>Poreikį tenkinančių VPS priemonių skaičius</v>
      </c>
      <c r="C12" s="646">
        <f>'4'!D13</f>
        <v>4</v>
      </c>
    </row>
    <row r="13" spans="1:6" ht="28.8" x14ac:dyDescent="0.3">
      <c r="A13" s="2" t="s">
        <v>84</v>
      </c>
      <c r="B13" s="509" t="str">
        <f>'4'!B14</f>
        <v>Susijęs nacionalinis poreikis 1</v>
      </c>
      <c r="C13" s="647" t="str">
        <f>'4'!D14</f>
        <v xml:space="preserve">h.4 . Modernizuoti kaimo vietoves didinant gyvenimo sąlygų jose patrauklumą </v>
      </c>
    </row>
    <row r="14" spans="1:6" x14ac:dyDescent="0.3">
      <c r="A14" s="2" t="s">
        <v>85</v>
      </c>
      <c r="B14" s="509" t="str">
        <f>'4'!B15</f>
        <v>Susijęs nacionalinis poreikis 2</v>
      </c>
      <c r="C14" s="647" t="str">
        <f>'4'!D15</f>
        <v xml:space="preserve">h.2. Didinti kaimo gyventojų užimtumą ir  socialinę įtrauktį </v>
      </c>
    </row>
    <row r="15" spans="1:6" x14ac:dyDescent="0.3">
      <c r="A15" s="2" t="s">
        <v>86</v>
      </c>
      <c r="B15" s="509" t="str">
        <f>'4'!B16</f>
        <v>Susijęs nacionalinis poreikis 3</v>
      </c>
      <c r="C15" s="647" t="str">
        <f>'4'!D16</f>
        <v>Netaikoma</v>
      </c>
    </row>
    <row r="16" spans="1:6" ht="28.8" x14ac:dyDescent="0.3">
      <c r="A16" s="2" t="s">
        <v>87</v>
      </c>
      <c r="B16" s="509" t="str">
        <f>'4'!B17</f>
        <v>Ar poreikis siejasi su rezultato rodikliu R.3 (skaitmeninės technologijos; pilnas rodiklio pavadinimas 6 lape)?</v>
      </c>
      <c r="C16" s="648" t="str">
        <f>'4'!D17</f>
        <v>Ne</v>
      </c>
    </row>
    <row r="17" spans="1:3" ht="28.8" x14ac:dyDescent="0.3">
      <c r="A17" s="2" t="s">
        <v>88</v>
      </c>
      <c r="B17" s="509" t="str">
        <f>'4'!B18</f>
        <v>Ar poreikis siejasi su rezultato rodikliu R.37 (darbo vietos; pilnas rodiklio pavadinimas 6 lape)?</v>
      </c>
      <c r="C17" s="648" t="str">
        <f>'4'!D18</f>
        <v>Ne</v>
      </c>
    </row>
    <row r="18" spans="1:3" ht="28.8" x14ac:dyDescent="0.3">
      <c r="A18" s="2" t="s">
        <v>89</v>
      </c>
      <c r="B18" s="509" t="str">
        <f>'4'!B19</f>
        <v>Poreikis siejasi su rezultato rodikliu R.39 (kaimo verslai; pilnas rodiklio pavadinimas 6 lape)</v>
      </c>
      <c r="C18" s="648" t="str">
        <f>'4'!D19</f>
        <v>Ne</v>
      </c>
    </row>
    <row r="19" spans="1:3" ht="28.8" x14ac:dyDescent="0.3">
      <c r="A19" s="2" t="s">
        <v>90</v>
      </c>
      <c r="B19" s="509" t="str">
        <f>'4'!B20</f>
        <v>Poreikis siejasi su rezultato rodikliu R.41 (paslaugos ir infrastruktūra; pilnas rodiklio pavadinimas 6 lape)</v>
      </c>
      <c r="C19" s="648" t="str">
        <f>'4'!D20</f>
        <v>Ne</v>
      </c>
    </row>
    <row r="20" spans="1:3" ht="28.8" x14ac:dyDescent="0.3">
      <c r="A20" s="2" t="s">
        <v>91</v>
      </c>
      <c r="B20" s="509" t="str">
        <f>'4'!B21</f>
        <v>Poreikis siejasi su rezultato rodikliu R.42 (socialinė įtrauktis; pilnas rodiklio pavadinimas 6 lape)</v>
      </c>
      <c r="C20" s="648" t="str">
        <f>'4'!D21</f>
        <v>Taip</v>
      </c>
    </row>
    <row r="21" spans="1:3" x14ac:dyDescent="0.3">
      <c r="B21" s="649"/>
      <c r="C21" s="650"/>
    </row>
    <row r="22" spans="1:3" x14ac:dyDescent="0.3">
      <c r="B22" s="651"/>
      <c r="C22" s="652" t="str">
        <f>'4'!E6</f>
        <v>2 poreikis</v>
      </c>
    </row>
    <row r="23" spans="1:3" ht="28.8" x14ac:dyDescent="0.3">
      <c r="A23" s="2" t="s">
        <v>16</v>
      </c>
      <c r="B23" s="509" t="str">
        <f>B6</f>
        <v>Poreikis</v>
      </c>
      <c r="C23" s="644" t="str">
        <f>'4'!E7</f>
        <v>Stiprinti smulkiuosius verslus, taikant  inovatyvius ir/ar tvarius sprendimus, diegiant skaitmenizavimą.</v>
      </c>
    </row>
    <row r="24" spans="1:3" ht="100.8" x14ac:dyDescent="0.3">
      <c r="A24" s="2" t="s">
        <v>17</v>
      </c>
      <c r="B24" s="509" t="str">
        <f t="shared" ref="B24:B37" si="0">B7</f>
        <v>Poreikio sąsaja su stiprybėmis ir (arba) galimybėmis</v>
      </c>
      <c r="C24" s="645" t="str">
        <f>'4'!E8</f>
        <v>Poreikis suformuluotas atsižveliant į 2, 4, 5 ir 6 stiprybes bei į 3,4, 5, 6 galimybes. Pasinaudodami paramos galimybėmis, verslo subjektai galės įvairinti bei modernizuoti paslaugas, kurti naujas,  taikyti jaunų ir/ar naujų gyventojų inovatyvias verslumo iniciatyvas. Sėkmingai verslo plėtrai pasitarnaus ir gamintojų bei vartotojų bendradarbiavimas, inovacijų taikymas.</v>
      </c>
    </row>
    <row r="25" spans="1:3" ht="72" x14ac:dyDescent="0.3">
      <c r="A25" s="2" t="s">
        <v>79</v>
      </c>
      <c r="B25" s="509" t="str">
        <f t="shared" si="0"/>
        <v>Poreikio sąsaja su silpnybėmis ir (arba) grėsmėmis</v>
      </c>
      <c r="C25" s="645" t="str">
        <f>'4'!E9</f>
        <v xml:space="preserve">3, 4 silpnybė, 4, 6 grėsmės. Gyventojų informacinių technologijų lygis vis dar yra nepakankamas. Būtina mokyti  išnaudoti informacinių technologijų galimybes kasdieniniame gyvenime. Pakyginus žemas  ekonominio raštingumo lygis. </v>
      </c>
    </row>
    <row r="26" spans="1:3" ht="43.2" x14ac:dyDescent="0.3">
      <c r="A26" s="2" t="s">
        <v>80</v>
      </c>
      <c r="B26" s="509" t="str">
        <f t="shared" si="0"/>
        <v>Poreikio sąsaja su situacijos analizės rodikliais (poreikio dydžio, problemos masto, intervencijos poreikio kiekybinis pagrindimas)</v>
      </c>
      <c r="C26" s="645">
        <f>'4'!E10</f>
        <v>0</v>
      </c>
    </row>
    <row r="27" spans="1:3" ht="115.2" x14ac:dyDescent="0.3">
      <c r="A27" s="2" t="s">
        <v>81</v>
      </c>
      <c r="B27" s="509" t="str">
        <f t="shared" si="0"/>
        <v>Poreikio sąsaja su aukštesnio lygmens strateginiais dokumentais</v>
      </c>
      <c r="C27" s="645" t="str">
        <f>'4'!E11</f>
        <v>Susijęs su Trakų r. savivaldybės 2016–2025 metų strateginio plėtros plano I prioritetine sritimi „Turistinio potencialo didinimas ir ekonominės plėtros skatinimas” ir II „Sumanios ir socialiai aprūpintos visuomenės kūrimas”, su  2022-2030 m. Vilniaus regiono plėtros plano 1.1 uždavinio ,,Sudaryti patrauklias sąlygas pritraukti investicijas, vidiniams netolygumams mažinti", su  su strategijos  LIETUVA 2030 įgyvendinimu, kuriant sumanią ekonomiką.</v>
      </c>
    </row>
    <row r="28" spans="1:3" ht="43.2" x14ac:dyDescent="0.3">
      <c r="A28" s="2" t="s">
        <v>82</v>
      </c>
      <c r="B28" s="509" t="str">
        <f t="shared" si="0"/>
        <v>Poreikio sąsaja su VVG teritorijos gyventojų nuomone</v>
      </c>
      <c r="C28" s="645" t="str">
        <f>'4'!E12</f>
        <v>Atsižvelgta į gyventojų nuomonę išsakytą susitikimuose, paeiktą apklausoje  dėl verslų (50 proc.), inovacijų  (39.6 proc.) (R12), žiedinės bioekonomikos  skatinimo (R14)</v>
      </c>
    </row>
    <row r="29" spans="1:3" x14ac:dyDescent="0.3">
      <c r="A29" s="2" t="s">
        <v>83</v>
      </c>
      <c r="B29" s="509" t="str">
        <f t="shared" si="0"/>
        <v>Poreikį tenkinančių VPS priemonių skaičius</v>
      </c>
      <c r="C29" s="646">
        <f>'4'!E13</f>
        <v>4</v>
      </c>
    </row>
    <row r="30" spans="1:3" ht="28.8" x14ac:dyDescent="0.3">
      <c r="A30" s="2" t="s">
        <v>84</v>
      </c>
      <c r="B30" s="509" t="str">
        <f t="shared" si="0"/>
        <v>Susijęs nacionalinis poreikis 1</v>
      </c>
      <c r="C30" s="647" t="str">
        <f>'4'!E14</f>
        <v xml:space="preserve">g.3 . Skatinti verslų kūrimąsi kaime, žemės ūkio veiklos įvairinimą </v>
      </c>
    </row>
    <row r="31" spans="1:3" ht="28.8" x14ac:dyDescent="0.3">
      <c r="A31" s="2" t="s">
        <v>85</v>
      </c>
      <c r="B31" s="509" t="str">
        <f t="shared" si="0"/>
        <v>Susijęs nacionalinis poreikis 2</v>
      </c>
      <c r="C31" s="647" t="str">
        <f>'4'!E15</f>
        <v>h.1. Skatinti kaimo gyventojų ir kaimo bendruomenių verslo iniciatyvas</v>
      </c>
    </row>
    <row r="32" spans="1:3" ht="28.8" x14ac:dyDescent="0.3">
      <c r="A32" s="2" t="s">
        <v>86</v>
      </c>
      <c r="B32" s="509" t="str">
        <f t="shared" si="0"/>
        <v>Susijęs nacionalinis poreikis 3</v>
      </c>
      <c r="C32" s="647" t="str">
        <f>'4'!E16</f>
        <v xml:space="preserve">h.4 . Modernizuoti kaimo vietoves didinant gyvenimo sąlygų jose patrauklumą </v>
      </c>
    </row>
    <row r="33" spans="1:3" ht="28.8" x14ac:dyDescent="0.3">
      <c r="A33" s="2" t="s">
        <v>87</v>
      </c>
      <c r="B33" s="509" t="str">
        <f t="shared" si="0"/>
        <v>Ar poreikis siejasi su rezultato rodikliu R.3 (skaitmeninės technologijos; pilnas rodiklio pavadinimas 6 lape)?</v>
      </c>
      <c r="C33" s="648" t="str">
        <f>'4'!E17</f>
        <v>Taip</v>
      </c>
    </row>
    <row r="34" spans="1:3" ht="28.8" x14ac:dyDescent="0.3">
      <c r="A34" s="2" t="s">
        <v>88</v>
      </c>
      <c r="B34" s="509" t="str">
        <f t="shared" si="0"/>
        <v>Ar poreikis siejasi su rezultato rodikliu R.37 (darbo vietos; pilnas rodiklio pavadinimas 6 lape)?</v>
      </c>
      <c r="C34" s="648" t="str">
        <f>'4'!E18</f>
        <v>Taip</v>
      </c>
    </row>
    <row r="35" spans="1:3" ht="28.8" x14ac:dyDescent="0.3">
      <c r="A35" s="2" t="s">
        <v>89</v>
      </c>
      <c r="B35" s="509" t="str">
        <f t="shared" si="0"/>
        <v>Poreikis siejasi su rezultato rodikliu R.39 (kaimo verslai; pilnas rodiklio pavadinimas 6 lape)</v>
      </c>
      <c r="C35" s="648" t="str">
        <f>'4'!E19</f>
        <v>Taip</v>
      </c>
    </row>
    <row r="36" spans="1:3" ht="28.8" x14ac:dyDescent="0.3">
      <c r="A36" s="2" t="s">
        <v>90</v>
      </c>
      <c r="B36" s="509" t="str">
        <f t="shared" si="0"/>
        <v>Poreikis siejasi su rezultato rodikliu R.41 (paslaugos ir infrastruktūra; pilnas rodiklio pavadinimas 6 lape)</v>
      </c>
      <c r="C36" s="648" t="str">
        <f>'4'!E20</f>
        <v>Ne</v>
      </c>
    </row>
    <row r="37" spans="1:3" ht="28.8" x14ac:dyDescent="0.3">
      <c r="A37" s="2" t="s">
        <v>91</v>
      </c>
      <c r="B37" s="509" t="str">
        <f t="shared" si="0"/>
        <v>Poreikis siejasi su rezultato rodikliu R.42 (socialinė įtrauktis; pilnas rodiklio pavadinimas 6 lape)</v>
      </c>
      <c r="C37" s="648" t="str">
        <f>'4'!E21</f>
        <v>Ne</v>
      </c>
    </row>
    <row r="38" spans="1:3" x14ac:dyDescent="0.3">
      <c r="B38" s="649"/>
      <c r="C38" s="650"/>
    </row>
    <row r="39" spans="1:3" x14ac:dyDescent="0.3">
      <c r="B39" s="651"/>
      <c r="C39" s="652" t="str">
        <f>'4'!F6</f>
        <v>3 poreikis</v>
      </c>
    </row>
    <row r="40" spans="1:3" ht="43.2" x14ac:dyDescent="0.3">
      <c r="A40" s="2" t="s">
        <v>16</v>
      </c>
      <c r="B40" s="509" t="str">
        <f>B23</f>
        <v>Poreikis</v>
      </c>
      <c r="C40" s="644" t="str">
        <f>'4'!F7</f>
        <v>Stiprinti jaunimo, kaimo bendruomenių, kitų nevyriausybinių organizacijų iniciatyvas, skatinant verslumą, savanorystę, tvarų vartojimą</v>
      </c>
    </row>
    <row r="41" spans="1:3" ht="28.8" x14ac:dyDescent="0.3">
      <c r="A41" s="2" t="s">
        <v>17</v>
      </c>
      <c r="B41" s="509" t="str">
        <f t="shared" ref="B41:B54" si="1">B24</f>
        <v>Poreikio sąsaja su stiprybėmis ir (arba) galimybėmis</v>
      </c>
      <c r="C41" s="645" t="str">
        <f>'4'!F8</f>
        <v xml:space="preserve">Poreikis suformuluotas atsižveliant į 5,6 stiprybes, bei 1 ir 2 galimybę. </v>
      </c>
    </row>
    <row r="42" spans="1:3" ht="43.2" x14ac:dyDescent="0.3">
      <c r="A42" s="2" t="s">
        <v>79</v>
      </c>
      <c r="B42" s="509" t="str">
        <f t="shared" si="1"/>
        <v>Poreikio sąsaja su silpnybėmis ir (arba) grėsmėmis</v>
      </c>
      <c r="C42" s="645" t="str">
        <f>'4'!F9</f>
        <v xml:space="preserve">Atsižvelta į 4, 6 silpnybes, 2 ir 6 grėsmes. Kaimiškosiose vietovėse nėra jaunimo organizacijų,, pasyvios bendruomenės nėra lyderių. </v>
      </c>
    </row>
    <row r="43" spans="1:3" ht="57.6" x14ac:dyDescent="0.3">
      <c r="A43" s="2" t="s">
        <v>80</v>
      </c>
      <c r="B43" s="509" t="str">
        <f t="shared" si="1"/>
        <v>Poreikio sąsaja su situacijos analizės rodikliais (poreikio dydžio, problemos masto, intervencijos poreikio kiekybinis pagrindimas)</v>
      </c>
      <c r="C43" s="645" t="str">
        <f>'4'!F10</f>
        <v xml:space="preserve">R21. VVG teritorijoje registruotos  47 bendruomenės, iš jų  39 kaimiškosiose teritorijose, tačiau aktyvių tik apie 10 (R62). Nevyriausybinių jaunimo organizacijų kaimiškosiose teritorijose visai nėra, o su jaunimu dirba tik 2 (R65). </v>
      </c>
    </row>
    <row r="44" spans="1:3" ht="86.4" x14ac:dyDescent="0.3">
      <c r="A44" s="2" t="s">
        <v>81</v>
      </c>
      <c r="B44" s="509" t="str">
        <f t="shared" si="1"/>
        <v>Poreikio sąsaja su aukštesnio lygmens strateginiais dokumentais</v>
      </c>
      <c r="C44" s="645" t="str">
        <f>'4'!F11</f>
        <v xml:space="preserve">Susiję su Trakų rajono savivaldybės 2016–2025 metų strateginio plėtros plano  II prioritetine sritimi  „Sumanios ir socialiai aprūpintos visuomenės kūrimas”, Trakų rajono savivaldybės žaliojo kurso strategija iki 2035 m., 2022-2030 m. Vilniaus regiono plėtros plano 3 tikslo ,,Mažinti socialinę atskirtį" įgyvendinimu. </v>
      </c>
    </row>
    <row r="45" spans="1:3" ht="57.6" x14ac:dyDescent="0.3">
      <c r="A45" s="2" t="s">
        <v>82</v>
      </c>
      <c r="B45" s="509" t="str">
        <f t="shared" si="1"/>
        <v>Poreikio sąsaja su VVG teritorijos gyventojų nuomone</v>
      </c>
      <c r="C45" s="645" t="str">
        <f>'4'!F12</f>
        <v>Atsižvelgta į gyventojų nuomonę išsakytą susitikimuose, paeiktą apklausoje (39 proc. apklaustųjų siūlo kurti priemones Savanorystę skatinančioms iniciatyvoms vystyti  (39.3 proc.) (R 15), aktyvinti NVO ir jaunimą,</v>
      </c>
    </row>
    <row r="46" spans="1:3" x14ac:dyDescent="0.3">
      <c r="A46" s="2" t="s">
        <v>83</v>
      </c>
      <c r="B46" s="509" t="str">
        <f t="shared" si="1"/>
        <v>Poreikį tenkinančių VPS priemonių skaičius</v>
      </c>
      <c r="C46" s="646">
        <f>'4'!F13</f>
        <v>10</v>
      </c>
    </row>
    <row r="47" spans="1:3" x14ac:dyDescent="0.3">
      <c r="A47" s="2" t="s">
        <v>84</v>
      </c>
      <c r="B47" s="509" t="str">
        <f t="shared" si="1"/>
        <v>Susijęs nacionalinis poreikis 1</v>
      </c>
      <c r="C47" s="647" t="str">
        <f>'4'!F14</f>
        <v xml:space="preserve">h.2. Didinti kaimo gyventojų užimtumą ir  socialinę įtrauktį </v>
      </c>
    </row>
    <row r="48" spans="1:3" ht="28.8" x14ac:dyDescent="0.3">
      <c r="A48" s="2" t="s">
        <v>85</v>
      </c>
      <c r="B48" s="509" t="str">
        <f t="shared" si="1"/>
        <v>Susijęs nacionalinis poreikis 2</v>
      </c>
      <c r="C48" s="647" t="str">
        <f>'4'!F15</f>
        <v>h.1. Skatinti kaimo gyventojų ir kaimo bendruomenių verslo iniciatyvas</v>
      </c>
    </row>
    <row r="49" spans="1:3" ht="28.8" x14ac:dyDescent="0.3">
      <c r="A49" s="2" t="s">
        <v>86</v>
      </c>
      <c r="B49" s="509" t="str">
        <f t="shared" si="1"/>
        <v>Susijęs nacionalinis poreikis 3</v>
      </c>
      <c r="C49" s="647" t="str">
        <f>'4'!F16</f>
        <v xml:space="preserve">h.4 . Modernizuoti kaimo vietoves didinant gyvenimo sąlygų jose patrauklumą </v>
      </c>
    </row>
    <row r="50" spans="1:3" ht="28.8" x14ac:dyDescent="0.3">
      <c r="A50" s="2" t="s">
        <v>87</v>
      </c>
      <c r="B50" s="509" t="str">
        <f t="shared" si="1"/>
        <v>Ar poreikis siejasi su rezultato rodikliu R.3 (skaitmeninės technologijos; pilnas rodiklio pavadinimas 6 lape)?</v>
      </c>
      <c r="C50" s="648" t="str">
        <f>'4'!F17</f>
        <v>Ne</v>
      </c>
    </row>
    <row r="51" spans="1:3" ht="28.8" x14ac:dyDescent="0.3">
      <c r="A51" s="2" t="s">
        <v>88</v>
      </c>
      <c r="B51" s="509" t="str">
        <f t="shared" si="1"/>
        <v>Ar poreikis siejasi su rezultato rodikliu R.37 (darbo vietos; pilnas rodiklio pavadinimas 6 lape)?</v>
      </c>
      <c r="C51" s="648" t="str">
        <f>'4'!F18</f>
        <v>Taip</v>
      </c>
    </row>
    <row r="52" spans="1:3" ht="28.8" x14ac:dyDescent="0.3">
      <c r="A52" s="2" t="s">
        <v>89</v>
      </c>
      <c r="B52" s="509" t="str">
        <f t="shared" si="1"/>
        <v>Poreikis siejasi su rezultato rodikliu R.39 (kaimo verslai; pilnas rodiklio pavadinimas 6 lape)</v>
      </c>
      <c r="C52" s="648" t="str">
        <f>'4'!F19</f>
        <v>Taip</v>
      </c>
    </row>
    <row r="53" spans="1:3" ht="28.8" x14ac:dyDescent="0.3">
      <c r="A53" s="2" t="s">
        <v>90</v>
      </c>
      <c r="B53" s="509" t="str">
        <f t="shared" si="1"/>
        <v>Poreikis siejasi su rezultato rodikliu R.41 (paslaugos ir infrastruktūra; pilnas rodiklio pavadinimas 6 lape)</v>
      </c>
      <c r="C53" s="648" t="str">
        <f>'4'!F20</f>
        <v>Taip</v>
      </c>
    </row>
    <row r="54" spans="1:3" ht="28.8" x14ac:dyDescent="0.3">
      <c r="A54" s="2" t="s">
        <v>91</v>
      </c>
      <c r="B54" s="509" t="str">
        <f t="shared" si="1"/>
        <v>Poreikis siejasi su rezultato rodikliu R.42 (socialinė įtrauktis; pilnas rodiklio pavadinimas 6 lape)</v>
      </c>
      <c r="C54" s="648" t="str">
        <f>'4'!F21</f>
        <v>Taip</v>
      </c>
    </row>
    <row r="55" spans="1:3" x14ac:dyDescent="0.3">
      <c r="B55" s="649"/>
      <c r="C55" s="650"/>
    </row>
    <row r="56" spans="1:3" x14ac:dyDescent="0.3">
      <c r="B56" s="651"/>
      <c r="C56" s="652" t="str">
        <f>'4'!G6</f>
        <v>4 poreikis</v>
      </c>
    </row>
    <row r="57" spans="1:3" ht="28.8" x14ac:dyDescent="0.3">
      <c r="A57" s="2" t="s">
        <v>16</v>
      </c>
      <c r="B57" s="509" t="str">
        <f>B40</f>
        <v>Poreikis</v>
      </c>
      <c r="C57" s="644" t="str">
        <f>'4'!G7</f>
        <v>Skatinti bendradarbiavimą tarp sektorių, ūkio subjektų populiarinant savo kraštą.</v>
      </c>
    </row>
    <row r="58" spans="1:3" ht="86.4" x14ac:dyDescent="0.3">
      <c r="A58" s="2" t="s">
        <v>17</v>
      </c>
      <c r="B58" s="509" t="str">
        <f t="shared" ref="B58:B71" si="2">B41</f>
        <v>Poreikio sąsaja su stiprybėmis ir (arba) galimybėmis</v>
      </c>
      <c r="C58" s="645" t="str">
        <f>'4'!G8</f>
        <v xml:space="preserve">Poreikis suformuluotas atsižveliant į 2, 3, 4,  6 stiprybes ir į 2, 5, 6 galimybes. Pasitelkiant amatininkus, eko ūkius, panaudojant daugiakultūrę patirtį trūksta bendradarbiavimo norint taikyti inovacijas, priimti sumanius sprendimus. Tiesioginis ryšys tarp vartotojų ir gamintojų garsinant savo kraštą taip pat sėkmingas tik bendradarbiavimo pagalba.   </v>
      </c>
    </row>
    <row r="59" spans="1:3" x14ac:dyDescent="0.3">
      <c r="A59" s="2" t="s">
        <v>79</v>
      </c>
      <c r="B59" s="509" t="str">
        <f t="shared" si="2"/>
        <v>Poreikio sąsaja su silpnybėmis ir (arba) grėsmėmis</v>
      </c>
      <c r="C59" s="645">
        <f>'4'!G9</f>
        <v>0</v>
      </c>
    </row>
    <row r="60" spans="1:3" ht="100.8" x14ac:dyDescent="0.3">
      <c r="A60" s="2" t="s">
        <v>80</v>
      </c>
      <c r="B60" s="509" t="str">
        <f t="shared" si="2"/>
        <v>Poreikio sąsaja su situacijos analizės rodikliais (poreikio dydžio, problemos masto, intervencijos poreikio kiekybinis pagrindimas)</v>
      </c>
      <c r="C60" s="645" t="str">
        <f>'4'!G10</f>
        <v>Lentavrio  ir Senųjų Trakų seniūnijose daugiausiai vidutinių ir didelių įmonių, gamyklų, ir dabar dar statomų,  (R8.1), VVG  veikia dvi žemės ūkio bendrovės (R59).,  veikia „AČIŪ“ stotelė, (R8.2). Pastebėta tendencija, kad įmonės/ ūkiai neišnaudoja tarpusavio bendradarbiavimo galimybių (R59.2), o esamas jų bendradarbiavimas yra pakankamai neišplėtotas (R59.1).</v>
      </c>
    </row>
    <row r="61" spans="1:3" ht="86.4" x14ac:dyDescent="0.3">
      <c r="A61" s="2" t="s">
        <v>81</v>
      </c>
      <c r="B61" s="509" t="str">
        <f t="shared" si="2"/>
        <v>Poreikio sąsaja su aukštesnio lygmens strateginiais dokumentais</v>
      </c>
      <c r="C61" s="645" t="str">
        <f>'4'!G11</f>
        <v>Susijęs su  Trakų rajono savivaldybės 2016–2025 metų strateginio plėtros plano I prioritetine sritimi „Turistinio potencialo didinimas ir ekonominės plėtros skatinimas” ir II „Sumanios ir socialiai aprūpintos visuomenės kūrimas”, 2022–2030 m. Vilniaus regiono plėtros plano 3 tikslo ,,Mažinti socialinę atskirtį" įgyvendinimu.</v>
      </c>
    </row>
    <row r="62" spans="1:3" ht="43.2" x14ac:dyDescent="0.3">
      <c r="A62" s="2" t="s">
        <v>82</v>
      </c>
      <c r="B62" s="509" t="str">
        <f t="shared" si="2"/>
        <v>Poreikio sąsaja su VVG teritorijos gyventojų nuomone</v>
      </c>
      <c r="C62" s="645" t="str">
        <f>'4'!G12</f>
        <v>Atsižvelgta į gyventojų nuomonę, išsakytą susitikimuose, paeiktą apklausoje (smulkių ūkio subjektų bendradarbiavimui  (41.2 proc.) (R 13) , kt).</v>
      </c>
    </row>
    <row r="63" spans="1:3" x14ac:dyDescent="0.3">
      <c r="A63" s="2" t="s">
        <v>83</v>
      </c>
      <c r="B63" s="509" t="str">
        <f t="shared" si="2"/>
        <v>Poreikį tenkinančių VPS priemonių skaičius</v>
      </c>
      <c r="C63" s="646">
        <f>'4'!G13</f>
        <v>6</v>
      </c>
    </row>
    <row r="64" spans="1:3" ht="28.8" x14ac:dyDescent="0.3">
      <c r="A64" s="2" t="s">
        <v>84</v>
      </c>
      <c r="B64" s="509" t="str">
        <f t="shared" si="2"/>
        <v>Susijęs nacionalinis poreikis 1</v>
      </c>
      <c r="C64" s="647" t="str">
        <f>'4'!G14</f>
        <v xml:space="preserve">g.3 . Skatinti verslų kūrimąsi kaime, žemės ūkio veiklos įvairinimą </v>
      </c>
    </row>
    <row r="65" spans="1:3" ht="28.8" x14ac:dyDescent="0.3">
      <c r="A65" s="2" t="s">
        <v>85</v>
      </c>
      <c r="B65" s="509" t="str">
        <f t="shared" si="2"/>
        <v>Susijęs nacionalinis poreikis 2</v>
      </c>
      <c r="C65" s="647" t="str">
        <f>'4'!G15</f>
        <v>h.1. Skatinti kaimo gyventojų ir kaimo bendruomenių verslo iniciatyvas</v>
      </c>
    </row>
    <row r="66" spans="1:3" x14ac:dyDescent="0.3">
      <c r="A66" s="2" t="s">
        <v>86</v>
      </c>
      <c r="B66" s="509" t="str">
        <f t="shared" si="2"/>
        <v>Susijęs nacionalinis poreikis 3</v>
      </c>
      <c r="C66" s="647" t="str">
        <f>'4'!G16</f>
        <v xml:space="preserve">h.2. Didinti kaimo gyventojų užimtumą ir  socialinę įtrauktį </v>
      </c>
    </row>
    <row r="67" spans="1:3" ht="28.8" x14ac:dyDescent="0.3">
      <c r="A67" s="2" t="s">
        <v>87</v>
      </c>
      <c r="B67" s="509" t="str">
        <f t="shared" si="2"/>
        <v>Ar poreikis siejasi su rezultato rodikliu R.3 (skaitmeninės technologijos; pilnas rodiklio pavadinimas 6 lape)?</v>
      </c>
      <c r="C67" s="648" t="str">
        <f>'4'!G17</f>
        <v>Ne</v>
      </c>
    </row>
    <row r="68" spans="1:3" ht="28.8" x14ac:dyDescent="0.3">
      <c r="A68" s="2" t="s">
        <v>88</v>
      </c>
      <c r="B68" s="509" t="str">
        <f t="shared" si="2"/>
        <v>Ar poreikis siejasi su rezultato rodikliu R.37 (darbo vietos; pilnas rodiklio pavadinimas 6 lape)?</v>
      </c>
      <c r="C68" s="648" t="str">
        <f>'4'!G18</f>
        <v>Taip</v>
      </c>
    </row>
    <row r="69" spans="1:3" ht="28.8" x14ac:dyDescent="0.3">
      <c r="A69" s="2" t="s">
        <v>89</v>
      </c>
      <c r="B69" s="509" t="str">
        <f t="shared" si="2"/>
        <v>Poreikis siejasi su rezultato rodikliu R.39 (kaimo verslai; pilnas rodiklio pavadinimas 6 lape)</v>
      </c>
      <c r="C69" s="648" t="str">
        <f>'4'!G19</f>
        <v>Taip</v>
      </c>
    </row>
    <row r="70" spans="1:3" ht="28.8" x14ac:dyDescent="0.3">
      <c r="A70" s="2" t="s">
        <v>90</v>
      </c>
      <c r="B70" s="509" t="str">
        <f t="shared" si="2"/>
        <v>Poreikis siejasi su rezultato rodikliu R.41 (paslaugos ir infrastruktūra; pilnas rodiklio pavadinimas 6 lape)</v>
      </c>
      <c r="C70" s="648" t="str">
        <f>'4'!G20</f>
        <v>Taip</v>
      </c>
    </row>
    <row r="71" spans="1:3" ht="28.8" x14ac:dyDescent="0.3">
      <c r="A71" s="2" t="s">
        <v>91</v>
      </c>
      <c r="B71" s="509" t="str">
        <f t="shared" si="2"/>
        <v>Poreikis siejasi su rezultato rodikliu R.42 (socialinė įtrauktis; pilnas rodiklio pavadinimas 6 lape)</v>
      </c>
      <c r="C71" s="648" t="str">
        <f>'4'!G21</f>
        <v>Ne</v>
      </c>
    </row>
    <row r="72" spans="1:3" x14ac:dyDescent="0.3">
      <c r="B72" s="649"/>
      <c r="C72" s="650"/>
    </row>
    <row r="73" spans="1:3" x14ac:dyDescent="0.3">
      <c r="B73" s="651"/>
      <c r="C73" s="652" t="str">
        <f>'4'!H6</f>
        <v>5 poreikis</v>
      </c>
    </row>
    <row r="74" spans="1:3" ht="43.2" x14ac:dyDescent="0.3">
      <c r="A74" s="2" t="s">
        <v>16</v>
      </c>
      <c r="B74" s="509" t="str">
        <f>B57</f>
        <v>Poreikis</v>
      </c>
      <c r="C74" s="644" t="str">
        <f>'4'!H7</f>
        <v>Gerinti paslaugų kokybę,  didinti prieinamumą  ir įvairovę visoms  amžiaus ir/ar  socialiai pažeidžiamoms gyventojų grupėms.</v>
      </c>
    </row>
    <row r="75" spans="1:3" ht="100.8" x14ac:dyDescent="0.3">
      <c r="A75" s="2" t="s">
        <v>17</v>
      </c>
      <c r="B75" s="509" t="str">
        <f t="shared" ref="B75:B88" si="3">B58</f>
        <v>Poreikio sąsaja su stiprybėmis ir (arba) galimybėmis</v>
      </c>
      <c r="C75" s="645" t="str">
        <f>'4'!H8</f>
        <v>Poreikis suformuluotas atsižveliant į  3 stiprybę ir 2 bei 5 galimybes. Paslaugų prieinamumo didinimas padės spręsti blogėjančios demografinės situacijos įtakojamos socialinės atskirties problemas, poreikio tenkinimas prisidės prie socialinių paslaugų įvairovės didinimo, į socialinių problemų sprendimą skatins įsitraukti NVO, taikyti sumanius socialinių problemų sprendimo būdus, skatinti savanorystę.</v>
      </c>
    </row>
    <row r="76" spans="1:3" ht="28.8" x14ac:dyDescent="0.3">
      <c r="A76" s="2" t="s">
        <v>79</v>
      </c>
      <c r="B76" s="509" t="str">
        <f t="shared" si="3"/>
        <v>Poreikio sąsaja su silpnybėmis ir (arba) grėsmėmis</v>
      </c>
      <c r="C76" s="645" t="str">
        <f>'4'!H9</f>
        <v xml:space="preserve">  Formuojant poreikį, atsižvelgta ir į 2, 3, 6 silpnybes bei 4 grėsmę. </v>
      </c>
    </row>
    <row r="77" spans="1:3" ht="43.2" x14ac:dyDescent="0.3">
      <c r="A77" s="2" t="s">
        <v>80</v>
      </c>
      <c r="B77" s="509" t="str">
        <f t="shared" si="3"/>
        <v>Poreikio sąsaja su situacijos analizės rodikliais (poreikio dydžio, problemos masto, intervencijos poreikio kiekybinis pagrindimas)</v>
      </c>
      <c r="C77" s="645" t="str">
        <f>'4'!H10</f>
        <v>R.26, R45, R46. Soc. pažeidžiama grupė senėjanti visuomenė, bedarbiai, iš jų daugiau nei pusė  (60 proc.) yra nekvalifikuoti.</v>
      </c>
    </row>
    <row r="78" spans="1:3" ht="86.4" x14ac:dyDescent="0.3">
      <c r="A78" s="2" t="s">
        <v>81</v>
      </c>
      <c r="B78" s="509" t="str">
        <f t="shared" si="3"/>
        <v>Poreikio sąsaja su aukštesnio lygmens strateginiais dokumentais</v>
      </c>
      <c r="C78" s="645" t="str">
        <f>'4'!H11</f>
        <v>Susijęs su Trakų rajono savivaldybės 2016–2025 metų strateginio plėtros plano II prioriteto tiklsine sritimi „Sumanios ir socialiai aprūpintos visuomenės kūrimas”, Trakų rajono savivaldybės žaliojo kurso strategija iki 2035 m., 2022-2030 m. Vilniaus regiono plėtros plano 3 tikslo ,,Mažinti socialinę atskirtį" įgyvendinimu.</v>
      </c>
    </row>
    <row r="79" spans="1:3" ht="28.8" x14ac:dyDescent="0.3">
      <c r="A79" s="2" t="s">
        <v>82</v>
      </c>
      <c r="B79" s="509" t="str">
        <f t="shared" si="3"/>
        <v>Poreikio sąsaja su VVG teritorijos gyventojų nuomone</v>
      </c>
      <c r="C79" s="645" t="str">
        <f>'4'!H12</f>
        <v>Gyventojai išreiškė poreikį  dėl paslaugų kokybės ir įvairumo apklausos  (48.3 proc.) ir susitikimų metu (R 9).</v>
      </c>
    </row>
    <row r="80" spans="1:3" x14ac:dyDescent="0.3">
      <c r="A80" s="2" t="s">
        <v>83</v>
      </c>
      <c r="B80" s="509" t="str">
        <f t="shared" si="3"/>
        <v>Poreikį tenkinančių VPS priemonių skaičius</v>
      </c>
      <c r="C80" s="646">
        <f>'4'!H13</f>
        <v>4</v>
      </c>
    </row>
    <row r="81" spans="1:3" ht="28.8" x14ac:dyDescent="0.3">
      <c r="A81" s="2" t="s">
        <v>84</v>
      </c>
      <c r="B81" s="509" t="str">
        <f t="shared" si="3"/>
        <v>Susijęs nacionalinis poreikis 1</v>
      </c>
      <c r="C81" s="647" t="str">
        <f>'4'!H14</f>
        <v xml:space="preserve">g.3 . Skatinti verslų kūrimąsi kaime, žemės ūkio veiklos įvairinimą </v>
      </c>
    </row>
    <row r="82" spans="1:3" ht="28.8" x14ac:dyDescent="0.3">
      <c r="A82" s="2" t="s">
        <v>85</v>
      </c>
      <c r="B82" s="509" t="str">
        <f t="shared" si="3"/>
        <v>Susijęs nacionalinis poreikis 2</v>
      </c>
      <c r="C82" s="647" t="str">
        <f>'4'!H15</f>
        <v>h.1. Skatinti kaimo gyventojų ir kaimo bendruomenių verslo iniciatyvas</v>
      </c>
    </row>
    <row r="83" spans="1:3" x14ac:dyDescent="0.3">
      <c r="A83" s="2" t="s">
        <v>86</v>
      </c>
      <c r="B83" s="509" t="str">
        <f t="shared" si="3"/>
        <v>Susijęs nacionalinis poreikis 3</v>
      </c>
      <c r="C83" s="647" t="str">
        <f>'4'!H16</f>
        <v xml:space="preserve">h.2. Didinti kaimo gyventojų užimtumą ir  socialinę įtrauktį </v>
      </c>
    </row>
    <row r="84" spans="1:3" ht="28.8" x14ac:dyDescent="0.3">
      <c r="A84" s="2" t="s">
        <v>87</v>
      </c>
      <c r="B84" s="509" t="str">
        <f t="shared" si="3"/>
        <v>Ar poreikis siejasi su rezultato rodikliu R.3 (skaitmeninės technologijos; pilnas rodiklio pavadinimas 6 lape)?</v>
      </c>
      <c r="C84" s="648" t="str">
        <f>'4'!H17</f>
        <v>Ne</v>
      </c>
    </row>
    <row r="85" spans="1:3" ht="28.8" x14ac:dyDescent="0.3">
      <c r="A85" s="2" t="s">
        <v>88</v>
      </c>
      <c r="B85" s="509" t="str">
        <f t="shared" si="3"/>
        <v>Ar poreikis siejasi su rezultato rodikliu R.37 (darbo vietos; pilnas rodiklio pavadinimas 6 lape)?</v>
      </c>
      <c r="C85" s="648" t="str">
        <f>'4'!H18</f>
        <v>Taip</v>
      </c>
    </row>
    <row r="86" spans="1:3" ht="28.8" x14ac:dyDescent="0.3">
      <c r="A86" s="2" t="s">
        <v>89</v>
      </c>
      <c r="B86" s="509" t="str">
        <f t="shared" si="3"/>
        <v>Poreikis siejasi su rezultato rodikliu R.39 (kaimo verslai; pilnas rodiklio pavadinimas 6 lape)</v>
      </c>
      <c r="C86" s="648" t="str">
        <f>'4'!H19</f>
        <v>Taip</v>
      </c>
    </row>
    <row r="87" spans="1:3" ht="28.8" x14ac:dyDescent="0.3">
      <c r="A87" s="2" t="s">
        <v>90</v>
      </c>
      <c r="B87" s="509" t="str">
        <f t="shared" si="3"/>
        <v>Poreikis siejasi su rezultato rodikliu R.41 (paslaugos ir infrastruktūra; pilnas rodiklio pavadinimas 6 lape)</v>
      </c>
      <c r="C87" s="648" t="str">
        <f>'4'!H20</f>
        <v>Taip</v>
      </c>
    </row>
    <row r="88" spans="1:3" ht="28.8" x14ac:dyDescent="0.3">
      <c r="A88" s="2" t="s">
        <v>91</v>
      </c>
      <c r="B88" s="509" t="str">
        <f t="shared" si="3"/>
        <v>Poreikis siejasi su rezultato rodikliu R.42 (socialinė įtrauktis; pilnas rodiklio pavadinimas 6 lape)</v>
      </c>
      <c r="C88" s="648" t="str">
        <f>'4'!H21</f>
        <v>Taip</v>
      </c>
    </row>
    <row r="89" spans="1:3" x14ac:dyDescent="0.3">
      <c r="B89" s="649"/>
      <c r="C89" s="650"/>
    </row>
    <row r="90" spans="1:3" x14ac:dyDescent="0.3">
      <c r="B90" s="651"/>
      <c r="C90" s="652" t="str">
        <f>'4'!I6</f>
        <v>6 poreikis</v>
      </c>
    </row>
    <row r="91" spans="1:3" x14ac:dyDescent="0.3">
      <c r="A91" s="2" t="s">
        <v>16</v>
      </c>
      <c r="B91" s="509" t="str">
        <f>B74</f>
        <v>Poreikis</v>
      </c>
      <c r="C91" s="644">
        <f>'4'!I7</f>
        <v>0</v>
      </c>
    </row>
    <row r="92" spans="1:3" x14ac:dyDescent="0.3">
      <c r="A92" s="2" t="s">
        <v>17</v>
      </c>
      <c r="B92" s="509" t="str">
        <f t="shared" ref="B92:B105" si="4">B75</f>
        <v>Poreikio sąsaja su stiprybėmis ir (arba) galimybėmis</v>
      </c>
      <c r="C92" s="645">
        <f>'4'!I8</f>
        <v>0</v>
      </c>
    </row>
    <row r="93" spans="1:3" x14ac:dyDescent="0.3">
      <c r="A93" s="2" t="s">
        <v>79</v>
      </c>
      <c r="B93" s="509" t="str">
        <f t="shared" si="4"/>
        <v>Poreikio sąsaja su silpnybėmis ir (arba) grėsmėmis</v>
      </c>
      <c r="C93" s="645">
        <f>'4'!I9</f>
        <v>0</v>
      </c>
    </row>
    <row r="94" spans="1:3" ht="43.2" x14ac:dyDescent="0.3">
      <c r="A94" s="2" t="s">
        <v>80</v>
      </c>
      <c r="B94" s="509" t="str">
        <f t="shared" si="4"/>
        <v>Poreikio sąsaja su situacijos analizės rodikliais (poreikio dydžio, problemos masto, intervencijos poreikio kiekybinis pagrindimas)</v>
      </c>
      <c r="C94" s="645">
        <f>'4'!I10</f>
        <v>0</v>
      </c>
    </row>
    <row r="95" spans="1:3" ht="28.8" x14ac:dyDescent="0.3">
      <c r="A95" s="2" t="s">
        <v>81</v>
      </c>
      <c r="B95" s="509" t="str">
        <f t="shared" si="4"/>
        <v>Poreikio sąsaja su aukštesnio lygmens strateginiais dokumentais</v>
      </c>
      <c r="C95" s="645">
        <f>'4'!I11</f>
        <v>0</v>
      </c>
    </row>
    <row r="96" spans="1:3" x14ac:dyDescent="0.3">
      <c r="A96" s="2" t="s">
        <v>82</v>
      </c>
      <c r="B96" s="509" t="str">
        <f t="shared" si="4"/>
        <v>Poreikio sąsaja su VVG teritorijos gyventojų nuomone</v>
      </c>
      <c r="C96" s="645">
        <f>'4'!I12</f>
        <v>0</v>
      </c>
    </row>
    <row r="97" spans="1:3" x14ac:dyDescent="0.3">
      <c r="A97" s="2" t="s">
        <v>83</v>
      </c>
      <c r="B97" s="509" t="str">
        <f t="shared" si="4"/>
        <v>Poreikį tenkinančių VPS priemonių skaičius</v>
      </c>
      <c r="C97" s="646">
        <f>'4'!I13</f>
        <v>0</v>
      </c>
    </row>
    <row r="98" spans="1:3" x14ac:dyDescent="0.3">
      <c r="A98" s="2" t="s">
        <v>84</v>
      </c>
      <c r="B98" s="509" t="str">
        <f t="shared" si="4"/>
        <v>Susijęs nacionalinis poreikis 1</v>
      </c>
      <c r="C98" s="647" t="str">
        <f>'4'!I14</f>
        <v>Pasirinkite</v>
      </c>
    </row>
    <row r="99" spans="1:3" x14ac:dyDescent="0.3">
      <c r="A99" s="2" t="s">
        <v>85</v>
      </c>
      <c r="B99" s="509" t="str">
        <f t="shared" si="4"/>
        <v>Susijęs nacionalinis poreikis 2</v>
      </c>
      <c r="C99" s="647" t="str">
        <f>'4'!I15</f>
        <v>Pasirinkite</v>
      </c>
    </row>
    <row r="100" spans="1:3" x14ac:dyDescent="0.3">
      <c r="A100" s="2" t="s">
        <v>86</v>
      </c>
      <c r="B100" s="509" t="str">
        <f t="shared" si="4"/>
        <v>Susijęs nacionalinis poreikis 3</v>
      </c>
      <c r="C100" s="647" t="str">
        <f>'4'!I16</f>
        <v>Pasirinkite</v>
      </c>
    </row>
    <row r="101" spans="1:3" ht="28.8" x14ac:dyDescent="0.3">
      <c r="A101" s="2" t="s">
        <v>87</v>
      </c>
      <c r="B101" s="509" t="str">
        <f t="shared" si="4"/>
        <v>Ar poreikis siejasi su rezultato rodikliu R.3 (skaitmeninės technologijos; pilnas rodiklio pavadinimas 6 lape)?</v>
      </c>
      <c r="C101" s="648" t="str">
        <f>'4'!I17</f>
        <v>Ne</v>
      </c>
    </row>
    <row r="102" spans="1:3" ht="28.8" x14ac:dyDescent="0.3">
      <c r="A102" s="2" t="s">
        <v>88</v>
      </c>
      <c r="B102" s="509" t="str">
        <f t="shared" si="4"/>
        <v>Ar poreikis siejasi su rezultato rodikliu R.37 (darbo vietos; pilnas rodiklio pavadinimas 6 lape)?</v>
      </c>
      <c r="C102" s="648" t="str">
        <f>'4'!I18</f>
        <v>Ne</v>
      </c>
    </row>
    <row r="103" spans="1:3" ht="28.8" x14ac:dyDescent="0.3">
      <c r="A103" s="2" t="s">
        <v>89</v>
      </c>
      <c r="B103" s="509" t="str">
        <f t="shared" si="4"/>
        <v>Poreikis siejasi su rezultato rodikliu R.39 (kaimo verslai; pilnas rodiklio pavadinimas 6 lape)</v>
      </c>
      <c r="C103" s="648" t="str">
        <f>'4'!I19</f>
        <v>Ne</v>
      </c>
    </row>
    <row r="104" spans="1:3" ht="28.8" x14ac:dyDescent="0.3">
      <c r="A104" s="2" t="s">
        <v>90</v>
      </c>
      <c r="B104" s="509" t="str">
        <f t="shared" si="4"/>
        <v>Poreikis siejasi su rezultato rodikliu R.41 (paslaugos ir infrastruktūra; pilnas rodiklio pavadinimas 6 lape)</v>
      </c>
      <c r="C104" s="648" t="str">
        <f>'4'!I20</f>
        <v>Ne</v>
      </c>
    </row>
    <row r="105" spans="1:3" ht="28.8" x14ac:dyDescent="0.3">
      <c r="A105" s="2" t="s">
        <v>91</v>
      </c>
      <c r="B105" s="509" t="str">
        <f t="shared" si="4"/>
        <v>Poreikis siejasi su rezultato rodikliu R.42 (socialinė įtrauktis; pilnas rodiklio pavadinimas 6 lape)</v>
      </c>
      <c r="C105" s="648" t="str">
        <f>'4'!I21</f>
        <v>Ne</v>
      </c>
    </row>
    <row r="106" spans="1:3" x14ac:dyDescent="0.3">
      <c r="B106" s="649"/>
      <c r="C106" s="650"/>
    </row>
    <row r="107" spans="1:3" x14ac:dyDescent="0.3">
      <c r="B107" s="651"/>
      <c r="C107" s="652" t="str">
        <f>'4'!J6</f>
        <v>7 poreikis</v>
      </c>
    </row>
    <row r="108" spans="1:3" x14ac:dyDescent="0.3">
      <c r="A108" s="2" t="s">
        <v>16</v>
      </c>
      <c r="B108" s="509" t="str">
        <f>B91</f>
        <v>Poreikis</v>
      </c>
      <c r="C108" s="644">
        <f>'4'!J7</f>
        <v>0</v>
      </c>
    </row>
    <row r="109" spans="1:3" x14ac:dyDescent="0.3">
      <c r="A109" s="2" t="s">
        <v>17</v>
      </c>
      <c r="B109" s="509" t="str">
        <f t="shared" ref="B109:B122" si="5">B92</f>
        <v>Poreikio sąsaja su stiprybėmis ir (arba) galimybėmis</v>
      </c>
      <c r="C109" s="645">
        <f>'4'!J8</f>
        <v>0</v>
      </c>
    </row>
    <row r="110" spans="1:3" x14ac:dyDescent="0.3">
      <c r="A110" s="2" t="s">
        <v>79</v>
      </c>
      <c r="B110" s="509" t="str">
        <f t="shared" si="5"/>
        <v>Poreikio sąsaja su silpnybėmis ir (arba) grėsmėmis</v>
      </c>
      <c r="C110" s="645">
        <f>'4'!J9</f>
        <v>0</v>
      </c>
    </row>
    <row r="111" spans="1:3" ht="43.2" x14ac:dyDescent="0.3">
      <c r="A111" s="2" t="s">
        <v>80</v>
      </c>
      <c r="B111" s="509" t="str">
        <f t="shared" si="5"/>
        <v>Poreikio sąsaja su situacijos analizės rodikliais (poreikio dydžio, problemos masto, intervencijos poreikio kiekybinis pagrindimas)</v>
      </c>
      <c r="C111" s="645">
        <f>'4'!J10</f>
        <v>0</v>
      </c>
    </row>
    <row r="112" spans="1:3" ht="28.8" x14ac:dyDescent="0.3">
      <c r="A112" s="2" t="s">
        <v>81</v>
      </c>
      <c r="B112" s="509" t="str">
        <f t="shared" si="5"/>
        <v>Poreikio sąsaja su aukštesnio lygmens strateginiais dokumentais</v>
      </c>
      <c r="C112" s="645">
        <f>'4'!J11</f>
        <v>0</v>
      </c>
    </row>
    <row r="113" spans="1:3" x14ac:dyDescent="0.3">
      <c r="A113" s="2" t="s">
        <v>82</v>
      </c>
      <c r="B113" s="509" t="str">
        <f t="shared" si="5"/>
        <v>Poreikio sąsaja su VVG teritorijos gyventojų nuomone</v>
      </c>
      <c r="C113" s="645">
        <f>'4'!J12</f>
        <v>0</v>
      </c>
    </row>
    <row r="114" spans="1:3" x14ac:dyDescent="0.3">
      <c r="A114" s="2" t="s">
        <v>83</v>
      </c>
      <c r="B114" s="509" t="str">
        <f t="shared" si="5"/>
        <v>Poreikį tenkinančių VPS priemonių skaičius</v>
      </c>
      <c r="C114" s="646">
        <f>'4'!J13</f>
        <v>0</v>
      </c>
    </row>
    <row r="115" spans="1:3" x14ac:dyDescent="0.3">
      <c r="A115" s="2" t="s">
        <v>84</v>
      </c>
      <c r="B115" s="509" t="str">
        <f t="shared" si="5"/>
        <v>Susijęs nacionalinis poreikis 1</v>
      </c>
      <c r="C115" s="647" t="str">
        <f>'4'!J14</f>
        <v>Pasirinkite</v>
      </c>
    </row>
    <row r="116" spans="1:3" x14ac:dyDescent="0.3">
      <c r="A116" s="2" t="s">
        <v>85</v>
      </c>
      <c r="B116" s="509" t="str">
        <f t="shared" si="5"/>
        <v>Susijęs nacionalinis poreikis 2</v>
      </c>
      <c r="C116" s="647" t="str">
        <f>'4'!J15</f>
        <v>Pasirinkite</v>
      </c>
    </row>
    <row r="117" spans="1:3" x14ac:dyDescent="0.3">
      <c r="A117" s="2" t="s">
        <v>86</v>
      </c>
      <c r="B117" s="509" t="str">
        <f t="shared" si="5"/>
        <v>Susijęs nacionalinis poreikis 3</v>
      </c>
      <c r="C117" s="647" t="str">
        <f>'4'!J16</f>
        <v>Pasirinkite</v>
      </c>
    </row>
    <row r="118" spans="1:3" ht="28.8" x14ac:dyDescent="0.3">
      <c r="A118" s="2" t="s">
        <v>87</v>
      </c>
      <c r="B118" s="509" t="str">
        <f t="shared" si="5"/>
        <v>Ar poreikis siejasi su rezultato rodikliu R.3 (skaitmeninės technologijos; pilnas rodiklio pavadinimas 6 lape)?</v>
      </c>
      <c r="C118" s="648" t="str">
        <f>'4'!J17</f>
        <v>Ne</v>
      </c>
    </row>
    <row r="119" spans="1:3" ht="28.8" x14ac:dyDescent="0.3">
      <c r="A119" s="2" t="s">
        <v>88</v>
      </c>
      <c r="B119" s="509" t="str">
        <f t="shared" si="5"/>
        <v>Ar poreikis siejasi su rezultato rodikliu R.37 (darbo vietos; pilnas rodiklio pavadinimas 6 lape)?</v>
      </c>
      <c r="C119" s="648" t="str">
        <f>'4'!J18</f>
        <v>Ne</v>
      </c>
    </row>
    <row r="120" spans="1:3" ht="28.8" x14ac:dyDescent="0.3">
      <c r="A120" s="2" t="s">
        <v>89</v>
      </c>
      <c r="B120" s="509" t="str">
        <f t="shared" si="5"/>
        <v>Poreikis siejasi su rezultato rodikliu R.39 (kaimo verslai; pilnas rodiklio pavadinimas 6 lape)</v>
      </c>
      <c r="C120" s="648" t="str">
        <f>'4'!J19</f>
        <v>Ne</v>
      </c>
    </row>
    <row r="121" spans="1:3" ht="28.8" x14ac:dyDescent="0.3">
      <c r="A121" s="2" t="s">
        <v>90</v>
      </c>
      <c r="B121" s="509" t="str">
        <f t="shared" si="5"/>
        <v>Poreikis siejasi su rezultato rodikliu R.41 (paslaugos ir infrastruktūra; pilnas rodiklio pavadinimas 6 lape)</v>
      </c>
      <c r="C121" s="648" t="str">
        <f>'4'!J20</f>
        <v>Ne</v>
      </c>
    </row>
    <row r="122" spans="1:3" ht="28.8" x14ac:dyDescent="0.3">
      <c r="A122" s="2" t="s">
        <v>91</v>
      </c>
      <c r="B122" s="509" t="str">
        <f t="shared" si="5"/>
        <v>Poreikis siejasi su rezultato rodikliu R.42 (socialinė įtrauktis; pilnas rodiklio pavadinimas 6 lape)</v>
      </c>
      <c r="C122" s="648" t="str">
        <f>'4'!J21</f>
        <v>Ne</v>
      </c>
    </row>
    <row r="123" spans="1:3" x14ac:dyDescent="0.3">
      <c r="B123" s="649"/>
      <c r="C123" s="650"/>
    </row>
    <row r="124" spans="1:3" x14ac:dyDescent="0.3">
      <c r="B124" s="651"/>
      <c r="C124" s="652" t="str">
        <f>'4'!K6</f>
        <v>8 poreikis</v>
      </c>
    </row>
    <row r="125" spans="1:3" x14ac:dyDescent="0.3">
      <c r="A125" s="2" t="s">
        <v>16</v>
      </c>
      <c r="B125" s="509" t="str">
        <f>B108</f>
        <v>Poreikis</v>
      </c>
      <c r="C125" s="644">
        <f>'4'!K7</f>
        <v>0</v>
      </c>
    </row>
    <row r="126" spans="1:3" x14ac:dyDescent="0.3">
      <c r="A126" s="2" t="s">
        <v>17</v>
      </c>
      <c r="B126" s="509" t="str">
        <f t="shared" ref="B126:B139" si="6">B109</f>
        <v>Poreikio sąsaja su stiprybėmis ir (arba) galimybėmis</v>
      </c>
      <c r="C126" s="645">
        <f>'4'!K8</f>
        <v>0</v>
      </c>
    </row>
    <row r="127" spans="1:3" x14ac:dyDescent="0.3">
      <c r="A127" s="2" t="s">
        <v>79</v>
      </c>
      <c r="B127" s="509" t="str">
        <f t="shared" si="6"/>
        <v>Poreikio sąsaja su silpnybėmis ir (arba) grėsmėmis</v>
      </c>
      <c r="C127" s="645">
        <f>'4'!K9</f>
        <v>0</v>
      </c>
    </row>
    <row r="128" spans="1:3" ht="43.2" x14ac:dyDescent="0.3">
      <c r="A128" s="2" t="s">
        <v>80</v>
      </c>
      <c r="B128" s="509" t="str">
        <f t="shared" si="6"/>
        <v>Poreikio sąsaja su situacijos analizės rodikliais (poreikio dydžio, problemos masto, intervencijos poreikio kiekybinis pagrindimas)</v>
      </c>
      <c r="C128" s="645">
        <f>'4'!K10</f>
        <v>0</v>
      </c>
    </row>
    <row r="129" spans="1:3" ht="28.8" x14ac:dyDescent="0.3">
      <c r="A129" s="2" t="s">
        <v>81</v>
      </c>
      <c r="B129" s="509" t="str">
        <f t="shared" si="6"/>
        <v>Poreikio sąsaja su aukštesnio lygmens strateginiais dokumentais</v>
      </c>
      <c r="C129" s="645">
        <f>'4'!K11</f>
        <v>0</v>
      </c>
    </row>
    <row r="130" spans="1:3" x14ac:dyDescent="0.3">
      <c r="A130" s="2" t="s">
        <v>82</v>
      </c>
      <c r="B130" s="509" t="str">
        <f t="shared" si="6"/>
        <v>Poreikio sąsaja su VVG teritorijos gyventojų nuomone</v>
      </c>
      <c r="C130" s="645">
        <f>'4'!K12</f>
        <v>0</v>
      </c>
    </row>
    <row r="131" spans="1:3" x14ac:dyDescent="0.3">
      <c r="A131" s="2" t="s">
        <v>83</v>
      </c>
      <c r="B131" s="509" t="str">
        <f t="shared" si="6"/>
        <v>Poreikį tenkinančių VPS priemonių skaičius</v>
      </c>
      <c r="C131" s="646">
        <f>'4'!K13</f>
        <v>0</v>
      </c>
    </row>
    <row r="132" spans="1:3" x14ac:dyDescent="0.3">
      <c r="A132" s="2" t="s">
        <v>84</v>
      </c>
      <c r="B132" s="509" t="str">
        <f t="shared" si="6"/>
        <v>Susijęs nacionalinis poreikis 1</v>
      </c>
      <c r="C132" s="647" t="str">
        <f>'4'!K14</f>
        <v>Pasirinkite</v>
      </c>
    </row>
    <row r="133" spans="1:3" x14ac:dyDescent="0.3">
      <c r="A133" s="2" t="s">
        <v>85</v>
      </c>
      <c r="B133" s="509" t="str">
        <f t="shared" si="6"/>
        <v>Susijęs nacionalinis poreikis 2</v>
      </c>
      <c r="C133" s="647" t="str">
        <f>'4'!K15</f>
        <v>Pasirinkite</v>
      </c>
    </row>
    <row r="134" spans="1:3" x14ac:dyDescent="0.3">
      <c r="A134" s="2" t="s">
        <v>86</v>
      </c>
      <c r="B134" s="509" t="str">
        <f t="shared" si="6"/>
        <v>Susijęs nacionalinis poreikis 3</v>
      </c>
      <c r="C134" s="647" t="str">
        <f>'4'!K16</f>
        <v>Pasirinkite</v>
      </c>
    </row>
    <row r="135" spans="1:3" ht="28.8" x14ac:dyDescent="0.3">
      <c r="A135" s="2" t="s">
        <v>87</v>
      </c>
      <c r="B135" s="509" t="str">
        <f t="shared" si="6"/>
        <v>Ar poreikis siejasi su rezultato rodikliu R.3 (skaitmeninės technologijos; pilnas rodiklio pavadinimas 6 lape)?</v>
      </c>
      <c r="C135" s="648" t="str">
        <f>'4'!K17</f>
        <v>Ne</v>
      </c>
    </row>
    <row r="136" spans="1:3" ht="28.8" x14ac:dyDescent="0.3">
      <c r="A136" s="2" t="s">
        <v>88</v>
      </c>
      <c r="B136" s="509" t="str">
        <f t="shared" si="6"/>
        <v>Ar poreikis siejasi su rezultato rodikliu R.37 (darbo vietos; pilnas rodiklio pavadinimas 6 lape)?</v>
      </c>
      <c r="C136" s="648" t="str">
        <f>'4'!K18</f>
        <v>Ne</v>
      </c>
    </row>
    <row r="137" spans="1:3" ht="28.8" x14ac:dyDescent="0.3">
      <c r="A137" s="2" t="s">
        <v>89</v>
      </c>
      <c r="B137" s="509" t="str">
        <f t="shared" si="6"/>
        <v>Poreikis siejasi su rezultato rodikliu R.39 (kaimo verslai; pilnas rodiklio pavadinimas 6 lape)</v>
      </c>
      <c r="C137" s="648" t="str">
        <f>'4'!K19</f>
        <v>Ne</v>
      </c>
    </row>
    <row r="138" spans="1:3" ht="28.8" x14ac:dyDescent="0.3">
      <c r="A138" s="2" t="s">
        <v>90</v>
      </c>
      <c r="B138" s="509" t="str">
        <f t="shared" si="6"/>
        <v>Poreikis siejasi su rezultato rodikliu R.41 (paslaugos ir infrastruktūra; pilnas rodiklio pavadinimas 6 lape)</v>
      </c>
      <c r="C138" s="648" t="str">
        <f>'4'!K20</f>
        <v>Ne</v>
      </c>
    </row>
    <row r="139" spans="1:3" ht="28.8" x14ac:dyDescent="0.3">
      <c r="A139" s="2" t="s">
        <v>91</v>
      </c>
      <c r="B139" s="509" t="str">
        <f t="shared" si="6"/>
        <v>Poreikis siejasi su rezultato rodikliu R.42 (socialinė įtrauktis; pilnas rodiklio pavadinimas 6 lape)</v>
      </c>
      <c r="C139" s="648" t="str">
        <f>'4'!K21</f>
        <v>Ne</v>
      </c>
    </row>
    <row r="140" spans="1:3" x14ac:dyDescent="0.3">
      <c r="B140" s="649"/>
      <c r="C140" s="650"/>
    </row>
    <row r="141" spans="1:3" x14ac:dyDescent="0.3">
      <c r="B141" s="651"/>
      <c r="C141" s="652" t="str">
        <f>'4'!L6</f>
        <v>9 poreikis</v>
      </c>
    </row>
    <row r="142" spans="1:3" x14ac:dyDescent="0.3">
      <c r="A142" s="2" t="s">
        <v>16</v>
      </c>
      <c r="B142" s="509" t="str">
        <f>B125</f>
        <v>Poreikis</v>
      </c>
      <c r="C142" s="644">
        <f>'4'!L7</f>
        <v>0</v>
      </c>
    </row>
    <row r="143" spans="1:3" x14ac:dyDescent="0.3">
      <c r="A143" s="2" t="s">
        <v>17</v>
      </c>
      <c r="B143" s="509" t="str">
        <f t="shared" ref="B143:B156" si="7">B126</f>
        <v>Poreikio sąsaja su stiprybėmis ir (arba) galimybėmis</v>
      </c>
      <c r="C143" s="645">
        <f>'4'!L8</f>
        <v>0</v>
      </c>
    </row>
    <row r="144" spans="1:3" x14ac:dyDescent="0.3">
      <c r="A144" s="2" t="s">
        <v>79</v>
      </c>
      <c r="B144" s="509" t="str">
        <f t="shared" si="7"/>
        <v>Poreikio sąsaja su silpnybėmis ir (arba) grėsmėmis</v>
      </c>
      <c r="C144" s="645">
        <f>'4'!L9</f>
        <v>0</v>
      </c>
    </row>
    <row r="145" spans="1:3" ht="43.2" x14ac:dyDescent="0.3">
      <c r="A145" s="2" t="s">
        <v>80</v>
      </c>
      <c r="B145" s="509" t="str">
        <f t="shared" si="7"/>
        <v>Poreikio sąsaja su situacijos analizės rodikliais (poreikio dydžio, problemos masto, intervencijos poreikio kiekybinis pagrindimas)</v>
      </c>
      <c r="C145" s="645">
        <f>'4'!L10</f>
        <v>0</v>
      </c>
    </row>
    <row r="146" spans="1:3" ht="28.8" x14ac:dyDescent="0.3">
      <c r="A146" s="2" t="s">
        <v>81</v>
      </c>
      <c r="B146" s="509" t="str">
        <f t="shared" si="7"/>
        <v>Poreikio sąsaja su aukštesnio lygmens strateginiais dokumentais</v>
      </c>
      <c r="C146" s="645">
        <f>'4'!L11</f>
        <v>0</v>
      </c>
    </row>
    <row r="147" spans="1:3" x14ac:dyDescent="0.3">
      <c r="A147" s="2" t="s">
        <v>82</v>
      </c>
      <c r="B147" s="509" t="str">
        <f t="shared" si="7"/>
        <v>Poreikio sąsaja su VVG teritorijos gyventojų nuomone</v>
      </c>
      <c r="C147" s="645">
        <f>'4'!L12</f>
        <v>0</v>
      </c>
    </row>
    <row r="148" spans="1:3" x14ac:dyDescent="0.3">
      <c r="A148" s="2" t="s">
        <v>83</v>
      </c>
      <c r="B148" s="509" t="str">
        <f t="shared" si="7"/>
        <v>Poreikį tenkinančių VPS priemonių skaičius</v>
      </c>
      <c r="C148" s="646">
        <f>'4'!L13</f>
        <v>0</v>
      </c>
    </row>
    <row r="149" spans="1:3" x14ac:dyDescent="0.3">
      <c r="A149" s="2" t="s">
        <v>84</v>
      </c>
      <c r="B149" s="509" t="str">
        <f t="shared" si="7"/>
        <v>Susijęs nacionalinis poreikis 1</v>
      </c>
      <c r="C149" s="647" t="str">
        <f>'4'!L14</f>
        <v>Pasirinkite</v>
      </c>
    </row>
    <row r="150" spans="1:3" x14ac:dyDescent="0.3">
      <c r="A150" s="2" t="s">
        <v>85</v>
      </c>
      <c r="B150" s="509" t="str">
        <f t="shared" si="7"/>
        <v>Susijęs nacionalinis poreikis 2</v>
      </c>
      <c r="C150" s="647" t="str">
        <f>'4'!L15</f>
        <v>Pasirinkite</v>
      </c>
    </row>
    <row r="151" spans="1:3" x14ac:dyDescent="0.3">
      <c r="A151" s="2" t="s">
        <v>86</v>
      </c>
      <c r="B151" s="509" t="str">
        <f t="shared" si="7"/>
        <v>Susijęs nacionalinis poreikis 3</v>
      </c>
      <c r="C151" s="647" t="str">
        <f>'4'!L16</f>
        <v>Pasirinkite</v>
      </c>
    </row>
    <row r="152" spans="1:3" ht="28.8" x14ac:dyDescent="0.3">
      <c r="A152" s="2" t="s">
        <v>87</v>
      </c>
      <c r="B152" s="509" t="str">
        <f t="shared" si="7"/>
        <v>Ar poreikis siejasi su rezultato rodikliu R.3 (skaitmeninės technologijos; pilnas rodiklio pavadinimas 6 lape)?</v>
      </c>
      <c r="C152" s="648" t="str">
        <f>'4'!L17</f>
        <v>Ne</v>
      </c>
    </row>
    <row r="153" spans="1:3" ht="28.8" x14ac:dyDescent="0.3">
      <c r="A153" s="2" t="s">
        <v>88</v>
      </c>
      <c r="B153" s="509" t="str">
        <f t="shared" si="7"/>
        <v>Ar poreikis siejasi su rezultato rodikliu R.37 (darbo vietos; pilnas rodiklio pavadinimas 6 lape)?</v>
      </c>
      <c r="C153" s="648" t="str">
        <f>'4'!L18</f>
        <v>Ne</v>
      </c>
    </row>
    <row r="154" spans="1:3" ht="28.8" x14ac:dyDescent="0.3">
      <c r="A154" s="2" t="s">
        <v>89</v>
      </c>
      <c r="B154" s="509" t="str">
        <f t="shared" si="7"/>
        <v>Poreikis siejasi su rezultato rodikliu R.39 (kaimo verslai; pilnas rodiklio pavadinimas 6 lape)</v>
      </c>
      <c r="C154" s="648" t="str">
        <f>'4'!L19</f>
        <v>Ne</v>
      </c>
    </row>
    <row r="155" spans="1:3" ht="28.8" x14ac:dyDescent="0.3">
      <c r="A155" s="2" t="s">
        <v>90</v>
      </c>
      <c r="B155" s="509" t="str">
        <f t="shared" si="7"/>
        <v>Poreikis siejasi su rezultato rodikliu R.41 (paslaugos ir infrastruktūra; pilnas rodiklio pavadinimas 6 lape)</v>
      </c>
      <c r="C155" s="648" t="str">
        <f>'4'!L20</f>
        <v>Ne</v>
      </c>
    </row>
    <row r="156" spans="1:3" ht="28.8" x14ac:dyDescent="0.3">
      <c r="A156" s="2" t="s">
        <v>91</v>
      </c>
      <c r="B156" s="509" t="str">
        <f t="shared" si="7"/>
        <v>Poreikis siejasi su rezultato rodikliu R.42 (socialinė įtrauktis; pilnas rodiklio pavadinimas 6 lape)</v>
      </c>
      <c r="C156" s="648" t="str">
        <f>'4'!L21</f>
        <v>Ne</v>
      </c>
    </row>
    <row r="157" spans="1:3" x14ac:dyDescent="0.3">
      <c r="B157" s="649"/>
      <c r="C157" s="650"/>
    </row>
    <row r="158" spans="1:3" x14ac:dyDescent="0.3">
      <c r="B158" s="651"/>
      <c r="C158" s="652" t="str">
        <f>'4'!M6</f>
        <v>10 poreikis</v>
      </c>
    </row>
    <row r="159" spans="1:3" x14ac:dyDescent="0.3">
      <c r="A159" s="2" t="s">
        <v>16</v>
      </c>
      <c r="B159" s="509" t="str">
        <f>B142</f>
        <v>Poreikis</v>
      </c>
      <c r="C159" s="644">
        <f>'4'!M7</f>
        <v>0</v>
      </c>
    </row>
    <row r="160" spans="1:3" x14ac:dyDescent="0.3">
      <c r="A160" s="2" t="s">
        <v>17</v>
      </c>
      <c r="B160" s="509" t="str">
        <f t="shared" ref="B160:B173" si="8">B143</f>
        <v>Poreikio sąsaja su stiprybėmis ir (arba) galimybėmis</v>
      </c>
      <c r="C160" s="645">
        <f>'4'!M8</f>
        <v>0</v>
      </c>
    </row>
    <row r="161" spans="1:3" x14ac:dyDescent="0.3">
      <c r="A161" s="2" t="s">
        <v>79</v>
      </c>
      <c r="B161" s="509" t="str">
        <f t="shared" si="8"/>
        <v>Poreikio sąsaja su silpnybėmis ir (arba) grėsmėmis</v>
      </c>
      <c r="C161" s="645">
        <f>'4'!M9</f>
        <v>0</v>
      </c>
    </row>
    <row r="162" spans="1:3" ht="43.2" x14ac:dyDescent="0.3">
      <c r="A162" s="2" t="s">
        <v>80</v>
      </c>
      <c r="B162" s="509" t="str">
        <f t="shared" si="8"/>
        <v>Poreikio sąsaja su situacijos analizės rodikliais (poreikio dydžio, problemos masto, intervencijos poreikio kiekybinis pagrindimas)</v>
      </c>
      <c r="C162" s="645">
        <f>'4'!M10</f>
        <v>0</v>
      </c>
    </row>
    <row r="163" spans="1:3" ht="28.8" x14ac:dyDescent="0.3">
      <c r="A163" s="2" t="s">
        <v>81</v>
      </c>
      <c r="B163" s="509" t="str">
        <f t="shared" si="8"/>
        <v>Poreikio sąsaja su aukštesnio lygmens strateginiais dokumentais</v>
      </c>
      <c r="C163" s="645">
        <f>'4'!M11</f>
        <v>0</v>
      </c>
    </row>
    <row r="164" spans="1:3" x14ac:dyDescent="0.3">
      <c r="A164" s="2" t="s">
        <v>82</v>
      </c>
      <c r="B164" s="509" t="str">
        <f t="shared" si="8"/>
        <v>Poreikio sąsaja su VVG teritorijos gyventojų nuomone</v>
      </c>
      <c r="C164" s="645">
        <f>'4'!M12</f>
        <v>0</v>
      </c>
    </row>
    <row r="165" spans="1:3" x14ac:dyDescent="0.3">
      <c r="A165" s="2" t="s">
        <v>83</v>
      </c>
      <c r="B165" s="509" t="str">
        <f t="shared" si="8"/>
        <v>Poreikį tenkinančių VPS priemonių skaičius</v>
      </c>
      <c r="C165" s="646">
        <f>'4'!M13</f>
        <v>0</v>
      </c>
    </row>
    <row r="166" spans="1:3" x14ac:dyDescent="0.3">
      <c r="A166" s="2" t="s">
        <v>84</v>
      </c>
      <c r="B166" s="509" t="str">
        <f t="shared" si="8"/>
        <v>Susijęs nacionalinis poreikis 1</v>
      </c>
      <c r="C166" s="647" t="str">
        <f>'4'!M14</f>
        <v>Pasirinkite</v>
      </c>
    </row>
    <row r="167" spans="1:3" x14ac:dyDescent="0.3">
      <c r="A167" s="2" t="s">
        <v>85</v>
      </c>
      <c r="B167" s="509" t="str">
        <f t="shared" si="8"/>
        <v>Susijęs nacionalinis poreikis 2</v>
      </c>
      <c r="C167" s="647" t="str">
        <f>'4'!M15</f>
        <v>Pasirinkite</v>
      </c>
    </row>
    <row r="168" spans="1:3" x14ac:dyDescent="0.3">
      <c r="A168" s="2" t="s">
        <v>86</v>
      </c>
      <c r="B168" s="509" t="str">
        <f t="shared" si="8"/>
        <v>Susijęs nacionalinis poreikis 3</v>
      </c>
      <c r="C168" s="647" t="str">
        <f>'4'!M16</f>
        <v>Pasirinkite</v>
      </c>
    </row>
    <row r="169" spans="1:3" ht="28.8" x14ac:dyDescent="0.3">
      <c r="A169" s="2" t="s">
        <v>87</v>
      </c>
      <c r="B169" s="509" t="str">
        <f t="shared" si="8"/>
        <v>Ar poreikis siejasi su rezultato rodikliu R.3 (skaitmeninės technologijos; pilnas rodiklio pavadinimas 6 lape)?</v>
      </c>
      <c r="C169" s="648" t="str">
        <f>'4'!M17</f>
        <v>Ne</v>
      </c>
    </row>
    <row r="170" spans="1:3" ht="28.8" x14ac:dyDescent="0.3">
      <c r="A170" s="2" t="s">
        <v>88</v>
      </c>
      <c r="B170" s="509" t="str">
        <f t="shared" si="8"/>
        <v>Ar poreikis siejasi su rezultato rodikliu R.37 (darbo vietos; pilnas rodiklio pavadinimas 6 lape)?</v>
      </c>
      <c r="C170" s="648" t="str">
        <f>'4'!M18</f>
        <v>Ne</v>
      </c>
    </row>
    <row r="171" spans="1:3" ht="28.8" x14ac:dyDescent="0.3">
      <c r="A171" s="2" t="s">
        <v>89</v>
      </c>
      <c r="B171" s="509" t="str">
        <f t="shared" si="8"/>
        <v>Poreikis siejasi su rezultato rodikliu R.39 (kaimo verslai; pilnas rodiklio pavadinimas 6 lape)</v>
      </c>
      <c r="C171" s="648" t="str">
        <f>'4'!M19</f>
        <v>Ne</v>
      </c>
    </row>
    <row r="172" spans="1:3" ht="28.8" x14ac:dyDescent="0.3">
      <c r="A172" s="2" t="s">
        <v>90</v>
      </c>
      <c r="B172" s="509" t="str">
        <f t="shared" si="8"/>
        <v>Poreikis siejasi su rezultato rodikliu R.41 (paslaugos ir infrastruktūra; pilnas rodiklio pavadinimas 6 lape)</v>
      </c>
      <c r="C172" s="648" t="str">
        <f>'4'!M20</f>
        <v>Ne</v>
      </c>
    </row>
    <row r="173" spans="1:3" ht="28.8" x14ac:dyDescent="0.3">
      <c r="A173" s="2" t="s">
        <v>91</v>
      </c>
      <c r="B173" s="509" t="str">
        <f t="shared" si="8"/>
        <v>Poreikis siejasi su rezultato rodikliu R.42 (socialinė įtrauktis; pilnas rodiklio pavadinimas 6 lape)</v>
      </c>
      <c r="C173" s="648" t="str">
        <f>'4'!M21</f>
        <v>Ne</v>
      </c>
    </row>
    <row r="174" spans="1:3" x14ac:dyDescent="0.3">
      <c r="B174" s="649"/>
      <c r="C174" s="650"/>
    </row>
    <row r="175" spans="1:3" x14ac:dyDescent="0.3">
      <c r="B175" s="651"/>
      <c r="C175" s="652" t="str">
        <f>'4'!N6</f>
        <v>11 poreikis</v>
      </c>
    </row>
    <row r="176" spans="1:3" x14ac:dyDescent="0.3">
      <c r="A176" s="2" t="s">
        <v>16</v>
      </c>
      <c r="B176" s="509" t="str">
        <f>B159</f>
        <v>Poreikis</v>
      </c>
      <c r="C176" s="644">
        <f>'4'!N7</f>
        <v>0</v>
      </c>
    </row>
    <row r="177" spans="1:3" x14ac:dyDescent="0.3">
      <c r="A177" s="2" t="s">
        <v>17</v>
      </c>
      <c r="B177" s="509" t="str">
        <f t="shared" ref="B177:B190" si="9">B160</f>
        <v>Poreikio sąsaja su stiprybėmis ir (arba) galimybėmis</v>
      </c>
      <c r="C177" s="645">
        <f>'4'!N8</f>
        <v>0</v>
      </c>
    </row>
    <row r="178" spans="1:3" x14ac:dyDescent="0.3">
      <c r="A178" s="2" t="s">
        <v>79</v>
      </c>
      <c r="B178" s="509" t="str">
        <f t="shared" si="9"/>
        <v>Poreikio sąsaja su silpnybėmis ir (arba) grėsmėmis</v>
      </c>
      <c r="C178" s="645">
        <f>'4'!N9</f>
        <v>0</v>
      </c>
    </row>
    <row r="179" spans="1:3" ht="43.2" x14ac:dyDescent="0.3">
      <c r="A179" s="2" t="s">
        <v>80</v>
      </c>
      <c r="B179" s="509" t="str">
        <f t="shared" si="9"/>
        <v>Poreikio sąsaja su situacijos analizės rodikliais (poreikio dydžio, problemos masto, intervencijos poreikio kiekybinis pagrindimas)</v>
      </c>
      <c r="C179" s="645">
        <f>'4'!N10</f>
        <v>0</v>
      </c>
    </row>
    <row r="180" spans="1:3" ht="28.8" x14ac:dyDescent="0.3">
      <c r="A180" s="2" t="s">
        <v>81</v>
      </c>
      <c r="B180" s="509" t="str">
        <f t="shared" si="9"/>
        <v>Poreikio sąsaja su aukštesnio lygmens strateginiais dokumentais</v>
      </c>
      <c r="C180" s="645">
        <f>'4'!N11</f>
        <v>0</v>
      </c>
    </row>
    <row r="181" spans="1:3" x14ac:dyDescent="0.3">
      <c r="A181" s="2" t="s">
        <v>82</v>
      </c>
      <c r="B181" s="509" t="str">
        <f t="shared" si="9"/>
        <v>Poreikio sąsaja su VVG teritorijos gyventojų nuomone</v>
      </c>
      <c r="C181" s="645">
        <f>'4'!N12</f>
        <v>0</v>
      </c>
    </row>
    <row r="182" spans="1:3" x14ac:dyDescent="0.3">
      <c r="A182" s="2" t="s">
        <v>83</v>
      </c>
      <c r="B182" s="509" t="str">
        <f t="shared" si="9"/>
        <v>Poreikį tenkinančių VPS priemonių skaičius</v>
      </c>
      <c r="C182" s="646">
        <f>'4'!N13</f>
        <v>0</v>
      </c>
    </row>
    <row r="183" spans="1:3" x14ac:dyDescent="0.3">
      <c r="A183" s="2" t="s">
        <v>84</v>
      </c>
      <c r="B183" s="509" t="str">
        <f t="shared" si="9"/>
        <v>Susijęs nacionalinis poreikis 1</v>
      </c>
      <c r="C183" s="647" t="str">
        <f>'4'!N14</f>
        <v>Pasirinkite</v>
      </c>
    </row>
    <row r="184" spans="1:3" x14ac:dyDescent="0.3">
      <c r="A184" s="2" t="s">
        <v>85</v>
      </c>
      <c r="B184" s="509" t="str">
        <f t="shared" si="9"/>
        <v>Susijęs nacionalinis poreikis 2</v>
      </c>
      <c r="C184" s="647" t="str">
        <f>'4'!N15</f>
        <v>Pasirinkite</v>
      </c>
    </row>
    <row r="185" spans="1:3" x14ac:dyDescent="0.3">
      <c r="A185" s="2" t="s">
        <v>86</v>
      </c>
      <c r="B185" s="509" t="str">
        <f t="shared" si="9"/>
        <v>Susijęs nacionalinis poreikis 3</v>
      </c>
      <c r="C185" s="647" t="str">
        <f>'4'!N16</f>
        <v>Pasirinkite</v>
      </c>
    </row>
    <row r="186" spans="1:3" ht="28.8" x14ac:dyDescent="0.3">
      <c r="A186" s="2" t="s">
        <v>87</v>
      </c>
      <c r="B186" s="509" t="str">
        <f t="shared" si="9"/>
        <v>Ar poreikis siejasi su rezultato rodikliu R.3 (skaitmeninės technologijos; pilnas rodiklio pavadinimas 6 lape)?</v>
      </c>
      <c r="C186" s="648" t="str">
        <f>'4'!N17</f>
        <v>Ne</v>
      </c>
    </row>
    <row r="187" spans="1:3" ht="28.8" x14ac:dyDescent="0.3">
      <c r="A187" s="2" t="s">
        <v>88</v>
      </c>
      <c r="B187" s="509" t="str">
        <f t="shared" si="9"/>
        <v>Ar poreikis siejasi su rezultato rodikliu R.37 (darbo vietos; pilnas rodiklio pavadinimas 6 lape)?</v>
      </c>
      <c r="C187" s="648" t="str">
        <f>'4'!N18</f>
        <v>Ne</v>
      </c>
    </row>
    <row r="188" spans="1:3" ht="28.8" x14ac:dyDescent="0.3">
      <c r="A188" s="2" t="s">
        <v>89</v>
      </c>
      <c r="B188" s="509" t="str">
        <f t="shared" si="9"/>
        <v>Poreikis siejasi su rezultato rodikliu R.39 (kaimo verslai; pilnas rodiklio pavadinimas 6 lape)</v>
      </c>
      <c r="C188" s="648" t="str">
        <f>'4'!N19</f>
        <v>Ne</v>
      </c>
    </row>
    <row r="189" spans="1:3" ht="28.8" x14ac:dyDescent="0.3">
      <c r="A189" s="2" t="s">
        <v>90</v>
      </c>
      <c r="B189" s="509" t="str">
        <f t="shared" si="9"/>
        <v>Poreikis siejasi su rezultato rodikliu R.41 (paslaugos ir infrastruktūra; pilnas rodiklio pavadinimas 6 lape)</v>
      </c>
      <c r="C189" s="648" t="str">
        <f>'4'!N20</f>
        <v>Ne</v>
      </c>
    </row>
    <row r="190" spans="1:3" ht="28.8" x14ac:dyDescent="0.3">
      <c r="A190" s="2" t="s">
        <v>91</v>
      </c>
      <c r="B190" s="509" t="str">
        <f t="shared" si="9"/>
        <v>Poreikis siejasi su rezultato rodikliu R.42 (socialinė įtrauktis; pilnas rodiklio pavadinimas 6 lape)</v>
      </c>
      <c r="C190" s="648" t="str">
        <f>'4'!N21</f>
        <v>Ne</v>
      </c>
    </row>
    <row r="191" spans="1:3" x14ac:dyDescent="0.3">
      <c r="B191" s="649"/>
      <c r="C191" s="650"/>
    </row>
    <row r="192" spans="1:3" x14ac:dyDescent="0.3">
      <c r="B192" s="651"/>
      <c r="C192" s="652" t="str">
        <f>'4'!O6</f>
        <v>12 poreikis</v>
      </c>
    </row>
    <row r="193" spans="1:3" x14ac:dyDescent="0.3">
      <c r="A193" s="2" t="s">
        <v>16</v>
      </c>
      <c r="B193" s="509" t="str">
        <f>B176</f>
        <v>Poreikis</v>
      </c>
      <c r="C193" s="644">
        <f>'4'!O7</f>
        <v>0</v>
      </c>
    </row>
    <row r="194" spans="1:3" x14ac:dyDescent="0.3">
      <c r="A194" s="2" t="s">
        <v>17</v>
      </c>
      <c r="B194" s="509" t="str">
        <f t="shared" ref="B194:B207" si="10">B177</f>
        <v>Poreikio sąsaja su stiprybėmis ir (arba) galimybėmis</v>
      </c>
      <c r="C194" s="645">
        <f>'4'!O8</f>
        <v>0</v>
      </c>
    </row>
    <row r="195" spans="1:3" x14ac:dyDescent="0.3">
      <c r="A195" s="2" t="s">
        <v>79</v>
      </c>
      <c r="B195" s="509" t="str">
        <f t="shared" si="10"/>
        <v>Poreikio sąsaja su silpnybėmis ir (arba) grėsmėmis</v>
      </c>
      <c r="C195" s="645">
        <f>'4'!O9</f>
        <v>0</v>
      </c>
    </row>
    <row r="196" spans="1:3" ht="43.2" x14ac:dyDescent="0.3">
      <c r="A196" s="2" t="s">
        <v>80</v>
      </c>
      <c r="B196" s="509" t="str">
        <f t="shared" si="10"/>
        <v>Poreikio sąsaja su situacijos analizės rodikliais (poreikio dydžio, problemos masto, intervencijos poreikio kiekybinis pagrindimas)</v>
      </c>
      <c r="C196" s="645">
        <f>'4'!O10</f>
        <v>0</v>
      </c>
    </row>
    <row r="197" spans="1:3" ht="28.8" x14ac:dyDescent="0.3">
      <c r="A197" s="2" t="s">
        <v>81</v>
      </c>
      <c r="B197" s="509" t="str">
        <f t="shared" si="10"/>
        <v>Poreikio sąsaja su aukštesnio lygmens strateginiais dokumentais</v>
      </c>
      <c r="C197" s="645">
        <f>'4'!O11</f>
        <v>0</v>
      </c>
    </row>
    <row r="198" spans="1:3" x14ac:dyDescent="0.3">
      <c r="A198" s="2" t="s">
        <v>82</v>
      </c>
      <c r="B198" s="509" t="str">
        <f t="shared" si="10"/>
        <v>Poreikio sąsaja su VVG teritorijos gyventojų nuomone</v>
      </c>
      <c r="C198" s="645">
        <f>'4'!O12</f>
        <v>0</v>
      </c>
    </row>
    <row r="199" spans="1:3" x14ac:dyDescent="0.3">
      <c r="A199" s="2" t="s">
        <v>83</v>
      </c>
      <c r="B199" s="509" t="str">
        <f t="shared" si="10"/>
        <v>Poreikį tenkinančių VPS priemonių skaičius</v>
      </c>
      <c r="C199" s="646">
        <f>'4'!O13</f>
        <v>0</v>
      </c>
    </row>
    <row r="200" spans="1:3" x14ac:dyDescent="0.3">
      <c r="A200" s="2" t="s">
        <v>84</v>
      </c>
      <c r="B200" s="509" t="str">
        <f t="shared" si="10"/>
        <v>Susijęs nacionalinis poreikis 1</v>
      </c>
      <c r="C200" s="647" t="str">
        <f>'4'!O14</f>
        <v>Pasirinkite</v>
      </c>
    </row>
    <row r="201" spans="1:3" x14ac:dyDescent="0.3">
      <c r="A201" s="2" t="s">
        <v>85</v>
      </c>
      <c r="B201" s="509" t="str">
        <f t="shared" si="10"/>
        <v>Susijęs nacionalinis poreikis 2</v>
      </c>
      <c r="C201" s="647" t="str">
        <f>'4'!O15</f>
        <v>Pasirinkite</v>
      </c>
    </row>
    <row r="202" spans="1:3" x14ac:dyDescent="0.3">
      <c r="A202" s="2" t="s">
        <v>86</v>
      </c>
      <c r="B202" s="509" t="str">
        <f t="shared" si="10"/>
        <v>Susijęs nacionalinis poreikis 3</v>
      </c>
      <c r="C202" s="647" t="str">
        <f>'4'!O16</f>
        <v>Pasirinkite</v>
      </c>
    </row>
    <row r="203" spans="1:3" ht="28.8" x14ac:dyDescent="0.3">
      <c r="A203" s="2" t="s">
        <v>87</v>
      </c>
      <c r="B203" s="509" t="str">
        <f t="shared" si="10"/>
        <v>Ar poreikis siejasi su rezultato rodikliu R.3 (skaitmeninės technologijos; pilnas rodiklio pavadinimas 6 lape)?</v>
      </c>
      <c r="C203" s="648" t="str">
        <f>'4'!O17</f>
        <v>Ne</v>
      </c>
    </row>
    <row r="204" spans="1:3" ht="28.8" x14ac:dyDescent="0.3">
      <c r="A204" s="2" t="s">
        <v>88</v>
      </c>
      <c r="B204" s="509" t="str">
        <f t="shared" si="10"/>
        <v>Ar poreikis siejasi su rezultato rodikliu R.37 (darbo vietos; pilnas rodiklio pavadinimas 6 lape)?</v>
      </c>
      <c r="C204" s="648" t="str">
        <f>'4'!O18</f>
        <v>Ne</v>
      </c>
    </row>
    <row r="205" spans="1:3" ht="28.8" x14ac:dyDescent="0.3">
      <c r="A205" s="2" t="s">
        <v>89</v>
      </c>
      <c r="B205" s="509" t="str">
        <f t="shared" si="10"/>
        <v>Poreikis siejasi su rezultato rodikliu R.39 (kaimo verslai; pilnas rodiklio pavadinimas 6 lape)</v>
      </c>
      <c r="C205" s="648" t="str">
        <f>'4'!O19</f>
        <v>Ne</v>
      </c>
    </row>
    <row r="206" spans="1:3" ht="28.8" x14ac:dyDescent="0.3">
      <c r="A206" s="2" t="s">
        <v>90</v>
      </c>
      <c r="B206" s="509" t="str">
        <f t="shared" si="10"/>
        <v>Poreikis siejasi su rezultato rodikliu R.41 (paslaugos ir infrastruktūra; pilnas rodiklio pavadinimas 6 lape)</v>
      </c>
      <c r="C206" s="648" t="str">
        <f>'4'!O20</f>
        <v>Ne</v>
      </c>
    </row>
    <row r="207" spans="1:3" ht="28.8" x14ac:dyDescent="0.3">
      <c r="A207" s="2" t="s">
        <v>91</v>
      </c>
      <c r="B207" s="509" t="str">
        <f t="shared" si="10"/>
        <v>Poreikis siejasi su rezultato rodikliu R.42 (socialinė įtrauktis; pilnas rodiklio pavadinimas 6 lape)</v>
      </c>
      <c r="C207" s="648" t="str">
        <f>'4'!O21</f>
        <v>Ne</v>
      </c>
    </row>
    <row r="208" spans="1:3" x14ac:dyDescent="0.3">
      <c r="B208" s="649"/>
      <c r="C208" s="650"/>
    </row>
    <row r="209" spans="1:3" x14ac:dyDescent="0.3">
      <c r="B209" s="651"/>
      <c r="C209" s="652" t="str">
        <f>'4'!P6</f>
        <v>13 poreikis</v>
      </c>
    </row>
    <row r="210" spans="1:3" x14ac:dyDescent="0.3">
      <c r="A210" s="2" t="s">
        <v>16</v>
      </c>
      <c r="B210" s="509" t="str">
        <f>B193</f>
        <v>Poreikis</v>
      </c>
      <c r="C210" s="644">
        <f>'4'!P7</f>
        <v>0</v>
      </c>
    </row>
    <row r="211" spans="1:3" x14ac:dyDescent="0.3">
      <c r="A211" s="2" t="s">
        <v>17</v>
      </c>
      <c r="B211" s="509" t="str">
        <f t="shared" ref="B211:B224" si="11">B194</f>
        <v>Poreikio sąsaja su stiprybėmis ir (arba) galimybėmis</v>
      </c>
      <c r="C211" s="645">
        <f>'4'!P8</f>
        <v>0</v>
      </c>
    </row>
    <row r="212" spans="1:3" x14ac:dyDescent="0.3">
      <c r="A212" s="2" t="s">
        <v>79</v>
      </c>
      <c r="B212" s="509" t="str">
        <f t="shared" si="11"/>
        <v>Poreikio sąsaja su silpnybėmis ir (arba) grėsmėmis</v>
      </c>
      <c r="C212" s="645">
        <f>'4'!P9</f>
        <v>0</v>
      </c>
    </row>
    <row r="213" spans="1:3" ht="43.2" x14ac:dyDescent="0.3">
      <c r="A213" s="2" t="s">
        <v>80</v>
      </c>
      <c r="B213" s="509" t="str">
        <f t="shared" si="11"/>
        <v>Poreikio sąsaja su situacijos analizės rodikliais (poreikio dydžio, problemos masto, intervencijos poreikio kiekybinis pagrindimas)</v>
      </c>
      <c r="C213" s="645">
        <f>'4'!P10</f>
        <v>0</v>
      </c>
    </row>
    <row r="214" spans="1:3" ht="28.8" x14ac:dyDescent="0.3">
      <c r="A214" s="2" t="s">
        <v>81</v>
      </c>
      <c r="B214" s="509" t="str">
        <f t="shared" si="11"/>
        <v>Poreikio sąsaja su aukštesnio lygmens strateginiais dokumentais</v>
      </c>
      <c r="C214" s="645">
        <f>'4'!P11</f>
        <v>0</v>
      </c>
    </row>
    <row r="215" spans="1:3" x14ac:dyDescent="0.3">
      <c r="A215" s="2" t="s">
        <v>82</v>
      </c>
      <c r="B215" s="509" t="str">
        <f t="shared" si="11"/>
        <v>Poreikio sąsaja su VVG teritorijos gyventojų nuomone</v>
      </c>
      <c r="C215" s="645">
        <f>'4'!P12</f>
        <v>0</v>
      </c>
    </row>
    <row r="216" spans="1:3" x14ac:dyDescent="0.3">
      <c r="A216" s="2" t="s">
        <v>83</v>
      </c>
      <c r="B216" s="509" t="str">
        <f t="shared" si="11"/>
        <v>Poreikį tenkinančių VPS priemonių skaičius</v>
      </c>
      <c r="C216" s="646">
        <f>'4'!P13</f>
        <v>0</v>
      </c>
    </row>
    <row r="217" spans="1:3" x14ac:dyDescent="0.3">
      <c r="A217" s="2" t="s">
        <v>84</v>
      </c>
      <c r="B217" s="509" t="str">
        <f t="shared" si="11"/>
        <v>Susijęs nacionalinis poreikis 1</v>
      </c>
      <c r="C217" s="647" t="str">
        <f>'4'!P14</f>
        <v>Pasirinkite</v>
      </c>
    </row>
    <row r="218" spans="1:3" x14ac:dyDescent="0.3">
      <c r="A218" s="2" t="s">
        <v>85</v>
      </c>
      <c r="B218" s="509" t="str">
        <f t="shared" si="11"/>
        <v>Susijęs nacionalinis poreikis 2</v>
      </c>
      <c r="C218" s="647" t="str">
        <f>'4'!P15</f>
        <v>Pasirinkite</v>
      </c>
    </row>
    <row r="219" spans="1:3" x14ac:dyDescent="0.3">
      <c r="A219" s="2" t="s">
        <v>86</v>
      </c>
      <c r="B219" s="509" t="str">
        <f t="shared" si="11"/>
        <v>Susijęs nacionalinis poreikis 3</v>
      </c>
      <c r="C219" s="647" t="str">
        <f>'4'!P16</f>
        <v>Pasirinkite</v>
      </c>
    </row>
    <row r="220" spans="1:3" ht="28.8" x14ac:dyDescent="0.3">
      <c r="A220" s="2" t="s">
        <v>87</v>
      </c>
      <c r="B220" s="509" t="str">
        <f t="shared" si="11"/>
        <v>Ar poreikis siejasi su rezultato rodikliu R.3 (skaitmeninės technologijos; pilnas rodiklio pavadinimas 6 lape)?</v>
      </c>
      <c r="C220" s="648" t="str">
        <f>'4'!P17</f>
        <v>Ne</v>
      </c>
    </row>
    <row r="221" spans="1:3" ht="28.8" x14ac:dyDescent="0.3">
      <c r="A221" s="2" t="s">
        <v>88</v>
      </c>
      <c r="B221" s="509" t="str">
        <f t="shared" si="11"/>
        <v>Ar poreikis siejasi su rezultato rodikliu R.37 (darbo vietos; pilnas rodiklio pavadinimas 6 lape)?</v>
      </c>
      <c r="C221" s="648" t="str">
        <f>'4'!P18</f>
        <v>Ne</v>
      </c>
    </row>
    <row r="222" spans="1:3" ht="28.8" x14ac:dyDescent="0.3">
      <c r="A222" s="2" t="s">
        <v>89</v>
      </c>
      <c r="B222" s="509" t="str">
        <f t="shared" si="11"/>
        <v>Poreikis siejasi su rezultato rodikliu R.39 (kaimo verslai; pilnas rodiklio pavadinimas 6 lape)</v>
      </c>
      <c r="C222" s="648" t="str">
        <f>'4'!P19</f>
        <v>Ne</v>
      </c>
    </row>
    <row r="223" spans="1:3" ht="28.8" x14ac:dyDescent="0.3">
      <c r="A223" s="2" t="s">
        <v>90</v>
      </c>
      <c r="B223" s="509" t="str">
        <f t="shared" si="11"/>
        <v>Poreikis siejasi su rezultato rodikliu R.41 (paslaugos ir infrastruktūra; pilnas rodiklio pavadinimas 6 lape)</v>
      </c>
      <c r="C223" s="648" t="str">
        <f>'4'!P20</f>
        <v>Ne</v>
      </c>
    </row>
    <row r="224" spans="1:3" ht="28.8" x14ac:dyDescent="0.3">
      <c r="A224" s="2" t="s">
        <v>91</v>
      </c>
      <c r="B224" s="509" t="str">
        <f t="shared" si="11"/>
        <v>Poreikis siejasi su rezultato rodikliu R.42 (socialinė įtrauktis; pilnas rodiklio pavadinimas 6 lape)</v>
      </c>
      <c r="C224" s="648" t="str">
        <f>'4'!P21</f>
        <v>Ne</v>
      </c>
    </row>
    <row r="225" spans="1:3" x14ac:dyDescent="0.3">
      <c r="B225" s="649"/>
      <c r="C225" s="650"/>
    </row>
    <row r="226" spans="1:3" x14ac:dyDescent="0.3">
      <c r="B226" s="651"/>
      <c r="C226" s="652" t="str">
        <f>'4'!Q6</f>
        <v>14 poreikis</v>
      </c>
    </row>
    <row r="227" spans="1:3" x14ac:dyDescent="0.3">
      <c r="A227" s="2" t="s">
        <v>16</v>
      </c>
      <c r="B227" s="509" t="str">
        <f>B210</f>
        <v>Poreikis</v>
      </c>
      <c r="C227" s="644">
        <f>'4'!Q7</f>
        <v>0</v>
      </c>
    </row>
    <row r="228" spans="1:3" x14ac:dyDescent="0.3">
      <c r="A228" s="2" t="s">
        <v>17</v>
      </c>
      <c r="B228" s="509" t="str">
        <f t="shared" ref="B228:B241" si="12">B211</f>
        <v>Poreikio sąsaja su stiprybėmis ir (arba) galimybėmis</v>
      </c>
      <c r="C228" s="645">
        <f>'4'!Q8</f>
        <v>0</v>
      </c>
    </row>
    <row r="229" spans="1:3" x14ac:dyDescent="0.3">
      <c r="A229" s="2" t="s">
        <v>79</v>
      </c>
      <c r="B229" s="509" t="str">
        <f t="shared" si="12"/>
        <v>Poreikio sąsaja su silpnybėmis ir (arba) grėsmėmis</v>
      </c>
      <c r="C229" s="645">
        <f>'4'!Q9</f>
        <v>0</v>
      </c>
    </row>
    <row r="230" spans="1:3" ht="43.2" x14ac:dyDescent="0.3">
      <c r="A230" s="2" t="s">
        <v>80</v>
      </c>
      <c r="B230" s="509" t="str">
        <f t="shared" si="12"/>
        <v>Poreikio sąsaja su situacijos analizės rodikliais (poreikio dydžio, problemos masto, intervencijos poreikio kiekybinis pagrindimas)</v>
      </c>
      <c r="C230" s="645">
        <f>'4'!Q10</f>
        <v>0</v>
      </c>
    </row>
    <row r="231" spans="1:3" ht="28.8" x14ac:dyDescent="0.3">
      <c r="A231" s="2" t="s">
        <v>81</v>
      </c>
      <c r="B231" s="509" t="str">
        <f t="shared" si="12"/>
        <v>Poreikio sąsaja su aukštesnio lygmens strateginiais dokumentais</v>
      </c>
      <c r="C231" s="645">
        <f>'4'!Q11</f>
        <v>0</v>
      </c>
    </row>
    <row r="232" spans="1:3" x14ac:dyDescent="0.3">
      <c r="A232" s="2" t="s">
        <v>82</v>
      </c>
      <c r="B232" s="509" t="str">
        <f t="shared" si="12"/>
        <v>Poreikio sąsaja su VVG teritorijos gyventojų nuomone</v>
      </c>
      <c r="C232" s="645">
        <f>'4'!Q12</f>
        <v>0</v>
      </c>
    </row>
    <row r="233" spans="1:3" x14ac:dyDescent="0.3">
      <c r="A233" s="2" t="s">
        <v>83</v>
      </c>
      <c r="B233" s="509" t="str">
        <f t="shared" si="12"/>
        <v>Poreikį tenkinančių VPS priemonių skaičius</v>
      </c>
      <c r="C233" s="646">
        <f>'4'!Q13</f>
        <v>0</v>
      </c>
    </row>
    <row r="234" spans="1:3" x14ac:dyDescent="0.3">
      <c r="A234" s="2" t="s">
        <v>84</v>
      </c>
      <c r="B234" s="509" t="str">
        <f t="shared" si="12"/>
        <v>Susijęs nacionalinis poreikis 1</v>
      </c>
      <c r="C234" s="647" t="str">
        <f>'4'!Q14</f>
        <v>Pasirinkite</v>
      </c>
    </row>
    <row r="235" spans="1:3" x14ac:dyDescent="0.3">
      <c r="A235" s="2" t="s">
        <v>85</v>
      </c>
      <c r="B235" s="509" t="str">
        <f t="shared" si="12"/>
        <v>Susijęs nacionalinis poreikis 2</v>
      </c>
      <c r="C235" s="647" t="str">
        <f>'4'!Q15</f>
        <v>Pasirinkite</v>
      </c>
    </row>
    <row r="236" spans="1:3" x14ac:dyDescent="0.3">
      <c r="A236" s="2" t="s">
        <v>86</v>
      </c>
      <c r="B236" s="509" t="str">
        <f t="shared" si="12"/>
        <v>Susijęs nacionalinis poreikis 3</v>
      </c>
      <c r="C236" s="647" t="str">
        <f>'4'!Q16</f>
        <v>Pasirinkite</v>
      </c>
    </row>
    <row r="237" spans="1:3" ht="28.8" x14ac:dyDescent="0.3">
      <c r="A237" s="2" t="s">
        <v>87</v>
      </c>
      <c r="B237" s="509" t="str">
        <f t="shared" si="12"/>
        <v>Ar poreikis siejasi su rezultato rodikliu R.3 (skaitmeninės technologijos; pilnas rodiklio pavadinimas 6 lape)?</v>
      </c>
      <c r="C237" s="648" t="str">
        <f>'4'!Q17</f>
        <v>Ne</v>
      </c>
    </row>
    <row r="238" spans="1:3" ht="28.8" x14ac:dyDescent="0.3">
      <c r="A238" s="2" t="s">
        <v>88</v>
      </c>
      <c r="B238" s="509" t="str">
        <f t="shared" si="12"/>
        <v>Ar poreikis siejasi su rezultato rodikliu R.37 (darbo vietos; pilnas rodiklio pavadinimas 6 lape)?</v>
      </c>
      <c r="C238" s="648" t="str">
        <f>'4'!Q18</f>
        <v>Ne</v>
      </c>
    </row>
    <row r="239" spans="1:3" ht="28.8" x14ac:dyDescent="0.3">
      <c r="A239" s="2" t="s">
        <v>89</v>
      </c>
      <c r="B239" s="509" t="str">
        <f t="shared" si="12"/>
        <v>Poreikis siejasi su rezultato rodikliu R.39 (kaimo verslai; pilnas rodiklio pavadinimas 6 lape)</v>
      </c>
      <c r="C239" s="648" t="str">
        <f>'4'!Q19</f>
        <v>Ne</v>
      </c>
    </row>
    <row r="240" spans="1:3" ht="28.8" x14ac:dyDescent="0.3">
      <c r="A240" s="2" t="s">
        <v>90</v>
      </c>
      <c r="B240" s="509" t="str">
        <f t="shared" si="12"/>
        <v>Poreikis siejasi su rezultato rodikliu R.41 (paslaugos ir infrastruktūra; pilnas rodiklio pavadinimas 6 lape)</v>
      </c>
      <c r="C240" s="648" t="str">
        <f>'4'!Q20</f>
        <v>Ne</v>
      </c>
    </row>
    <row r="241" spans="1:3" ht="28.8" x14ac:dyDescent="0.3">
      <c r="A241" s="2" t="s">
        <v>91</v>
      </c>
      <c r="B241" s="509" t="str">
        <f t="shared" si="12"/>
        <v>Poreikis siejasi su rezultato rodikliu R.42 (socialinė įtrauktis; pilnas rodiklio pavadinimas 6 lape)</v>
      </c>
      <c r="C241" s="648" t="str">
        <f>'4'!Q21</f>
        <v>Ne</v>
      </c>
    </row>
    <row r="242" spans="1:3" x14ac:dyDescent="0.3">
      <c r="B242" s="649"/>
      <c r="C242" s="650"/>
    </row>
    <row r="243" spans="1:3" x14ac:dyDescent="0.3">
      <c r="B243" s="651"/>
      <c r="C243" s="652" t="str">
        <f>'4'!R6</f>
        <v>15 poreikis</v>
      </c>
    </row>
    <row r="244" spans="1:3" x14ac:dyDescent="0.3">
      <c r="A244" s="2" t="s">
        <v>16</v>
      </c>
      <c r="B244" s="509" t="str">
        <f>B227</f>
        <v>Poreikis</v>
      </c>
      <c r="C244" s="644">
        <f>'4'!R7</f>
        <v>0</v>
      </c>
    </row>
    <row r="245" spans="1:3" x14ac:dyDescent="0.3">
      <c r="A245" s="2" t="s">
        <v>17</v>
      </c>
      <c r="B245" s="509" t="str">
        <f t="shared" ref="B245:B258" si="13">B228</f>
        <v>Poreikio sąsaja su stiprybėmis ir (arba) galimybėmis</v>
      </c>
      <c r="C245" s="645">
        <f>'4'!R8</f>
        <v>0</v>
      </c>
    </row>
    <row r="246" spans="1:3" x14ac:dyDescent="0.3">
      <c r="A246" s="2" t="s">
        <v>79</v>
      </c>
      <c r="B246" s="509" t="str">
        <f t="shared" si="13"/>
        <v>Poreikio sąsaja su silpnybėmis ir (arba) grėsmėmis</v>
      </c>
      <c r="C246" s="645">
        <f>'4'!R9</f>
        <v>0</v>
      </c>
    </row>
    <row r="247" spans="1:3" ht="43.2" x14ac:dyDescent="0.3">
      <c r="A247" s="2" t="s">
        <v>80</v>
      </c>
      <c r="B247" s="509" t="str">
        <f t="shared" si="13"/>
        <v>Poreikio sąsaja su situacijos analizės rodikliais (poreikio dydžio, problemos masto, intervencijos poreikio kiekybinis pagrindimas)</v>
      </c>
      <c r="C247" s="645">
        <f>'4'!R10</f>
        <v>0</v>
      </c>
    </row>
    <row r="248" spans="1:3" ht="28.8" x14ac:dyDescent="0.3">
      <c r="A248" s="2" t="s">
        <v>81</v>
      </c>
      <c r="B248" s="509" t="str">
        <f t="shared" si="13"/>
        <v>Poreikio sąsaja su aukštesnio lygmens strateginiais dokumentais</v>
      </c>
      <c r="C248" s="645">
        <f>'4'!R11</f>
        <v>0</v>
      </c>
    </row>
    <row r="249" spans="1:3" x14ac:dyDescent="0.3">
      <c r="A249" s="2" t="s">
        <v>82</v>
      </c>
      <c r="B249" s="509" t="str">
        <f t="shared" si="13"/>
        <v>Poreikio sąsaja su VVG teritorijos gyventojų nuomone</v>
      </c>
      <c r="C249" s="645">
        <f>'4'!R12</f>
        <v>0</v>
      </c>
    </row>
    <row r="250" spans="1:3" x14ac:dyDescent="0.3">
      <c r="A250" s="2" t="s">
        <v>83</v>
      </c>
      <c r="B250" s="509" t="str">
        <f t="shared" si="13"/>
        <v>Poreikį tenkinančių VPS priemonių skaičius</v>
      </c>
      <c r="C250" s="646">
        <f>'4'!R13</f>
        <v>0</v>
      </c>
    </row>
    <row r="251" spans="1:3" x14ac:dyDescent="0.3">
      <c r="A251" s="2" t="s">
        <v>84</v>
      </c>
      <c r="B251" s="509" t="str">
        <f t="shared" si="13"/>
        <v>Susijęs nacionalinis poreikis 1</v>
      </c>
      <c r="C251" s="647" t="str">
        <f>'4'!R14</f>
        <v>Pasirinkite</v>
      </c>
    </row>
    <row r="252" spans="1:3" x14ac:dyDescent="0.3">
      <c r="A252" s="2" t="s">
        <v>85</v>
      </c>
      <c r="B252" s="509" t="str">
        <f t="shared" si="13"/>
        <v>Susijęs nacionalinis poreikis 2</v>
      </c>
      <c r="C252" s="647" t="str">
        <f>'4'!R15</f>
        <v>Pasirinkite</v>
      </c>
    </row>
    <row r="253" spans="1:3" x14ac:dyDescent="0.3">
      <c r="A253" s="2" t="s">
        <v>86</v>
      </c>
      <c r="B253" s="509" t="str">
        <f t="shared" si="13"/>
        <v>Susijęs nacionalinis poreikis 3</v>
      </c>
      <c r="C253" s="647" t="str">
        <f>'4'!R16</f>
        <v>Pasirinkite</v>
      </c>
    </row>
    <row r="254" spans="1:3" ht="28.8" x14ac:dyDescent="0.3">
      <c r="A254" s="2" t="s">
        <v>87</v>
      </c>
      <c r="B254" s="509" t="str">
        <f t="shared" si="13"/>
        <v>Ar poreikis siejasi su rezultato rodikliu R.3 (skaitmeninės technologijos; pilnas rodiklio pavadinimas 6 lape)?</v>
      </c>
      <c r="C254" s="648" t="str">
        <f>'4'!R17</f>
        <v>Ne</v>
      </c>
    </row>
    <row r="255" spans="1:3" ht="28.8" x14ac:dyDescent="0.3">
      <c r="A255" s="2" t="s">
        <v>88</v>
      </c>
      <c r="B255" s="509" t="str">
        <f t="shared" si="13"/>
        <v>Ar poreikis siejasi su rezultato rodikliu R.37 (darbo vietos; pilnas rodiklio pavadinimas 6 lape)?</v>
      </c>
      <c r="C255" s="648" t="str">
        <f>'4'!R18</f>
        <v>Ne</v>
      </c>
    </row>
    <row r="256" spans="1:3" ht="28.8" x14ac:dyDescent="0.3">
      <c r="A256" s="2" t="s">
        <v>89</v>
      </c>
      <c r="B256" s="509" t="str">
        <f t="shared" si="13"/>
        <v>Poreikis siejasi su rezultato rodikliu R.39 (kaimo verslai; pilnas rodiklio pavadinimas 6 lape)</v>
      </c>
      <c r="C256" s="648" t="str">
        <f>'4'!R19</f>
        <v>Ne</v>
      </c>
    </row>
    <row r="257" spans="1:3" ht="28.8" x14ac:dyDescent="0.3">
      <c r="A257" s="2" t="s">
        <v>90</v>
      </c>
      <c r="B257" s="509" t="str">
        <f t="shared" si="13"/>
        <v>Poreikis siejasi su rezultato rodikliu R.41 (paslaugos ir infrastruktūra; pilnas rodiklio pavadinimas 6 lape)</v>
      </c>
      <c r="C257" s="648" t="str">
        <f>'4'!R20</f>
        <v>Ne</v>
      </c>
    </row>
    <row r="258" spans="1:3" ht="28.8" x14ac:dyDescent="0.3">
      <c r="A258" s="2" t="s">
        <v>91</v>
      </c>
      <c r="B258" s="509" t="str">
        <f t="shared" si="13"/>
        <v>Poreikis siejasi su rezultato rodikliu R.42 (socialinė įtrauktis; pilnas rodiklio pavadinimas 6 lape)</v>
      </c>
      <c r="C258" s="648" t="str">
        <f>'4'!R21</f>
        <v>Ne</v>
      </c>
    </row>
    <row r="259" spans="1:3" x14ac:dyDescent="0.3">
      <c r="B259" s="649"/>
      <c r="C259" s="650"/>
    </row>
    <row r="260" spans="1:3" x14ac:dyDescent="0.3">
      <c r="B260" s="651"/>
      <c r="C260" s="652" t="str">
        <f>'4'!S6</f>
        <v>16 poreikis</v>
      </c>
    </row>
    <row r="261" spans="1:3" x14ac:dyDescent="0.3">
      <c r="A261" s="2" t="s">
        <v>16</v>
      </c>
      <c r="B261" s="509" t="str">
        <f>B244</f>
        <v>Poreikis</v>
      </c>
      <c r="C261" s="644">
        <f>'4'!S7</f>
        <v>0</v>
      </c>
    </row>
    <row r="262" spans="1:3" x14ac:dyDescent="0.3">
      <c r="A262" s="2" t="s">
        <v>17</v>
      </c>
      <c r="B262" s="509" t="str">
        <f t="shared" ref="B262:B275" si="14">B245</f>
        <v>Poreikio sąsaja su stiprybėmis ir (arba) galimybėmis</v>
      </c>
      <c r="C262" s="645">
        <f>'4'!S8</f>
        <v>0</v>
      </c>
    </row>
    <row r="263" spans="1:3" x14ac:dyDescent="0.3">
      <c r="A263" s="2" t="s">
        <v>79</v>
      </c>
      <c r="B263" s="509" t="str">
        <f t="shared" si="14"/>
        <v>Poreikio sąsaja su silpnybėmis ir (arba) grėsmėmis</v>
      </c>
      <c r="C263" s="645">
        <f>'4'!S9</f>
        <v>0</v>
      </c>
    </row>
    <row r="264" spans="1:3" ht="43.2" x14ac:dyDescent="0.3">
      <c r="A264" s="2" t="s">
        <v>80</v>
      </c>
      <c r="B264" s="509" t="str">
        <f t="shared" si="14"/>
        <v>Poreikio sąsaja su situacijos analizės rodikliais (poreikio dydžio, problemos masto, intervencijos poreikio kiekybinis pagrindimas)</v>
      </c>
      <c r="C264" s="645">
        <f>'4'!S10</f>
        <v>0</v>
      </c>
    </row>
    <row r="265" spans="1:3" ht="28.8" x14ac:dyDescent="0.3">
      <c r="A265" s="2" t="s">
        <v>81</v>
      </c>
      <c r="B265" s="509" t="str">
        <f t="shared" si="14"/>
        <v>Poreikio sąsaja su aukštesnio lygmens strateginiais dokumentais</v>
      </c>
      <c r="C265" s="645">
        <f>'4'!S11</f>
        <v>0</v>
      </c>
    </row>
    <row r="266" spans="1:3" x14ac:dyDescent="0.3">
      <c r="A266" s="2" t="s">
        <v>82</v>
      </c>
      <c r="B266" s="509" t="str">
        <f t="shared" si="14"/>
        <v>Poreikio sąsaja su VVG teritorijos gyventojų nuomone</v>
      </c>
      <c r="C266" s="645">
        <f>'4'!S12</f>
        <v>0</v>
      </c>
    </row>
    <row r="267" spans="1:3" x14ac:dyDescent="0.3">
      <c r="A267" s="2" t="s">
        <v>83</v>
      </c>
      <c r="B267" s="509" t="str">
        <f t="shared" si="14"/>
        <v>Poreikį tenkinančių VPS priemonių skaičius</v>
      </c>
      <c r="C267" s="646">
        <f>'4'!S13</f>
        <v>0</v>
      </c>
    </row>
    <row r="268" spans="1:3" x14ac:dyDescent="0.3">
      <c r="A268" s="2" t="s">
        <v>84</v>
      </c>
      <c r="B268" s="509" t="str">
        <f t="shared" si="14"/>
        <v>Susijęs nacionalinis poreikis 1</v>
      </c>
      <c r="C268" s="647" t="str">
        <f>'4'!S14</f>
        <v>Pasirinkite</v>
      </c>
    </row>
    <row r="269" spans="1:3" x14ac:dyDescent="0.3">
      <c r="A269" s="2" t="s">
        <v>85</v>
      </c>
      <c r="B269" s="509" t="str">
        <f t="shared" si="14"/>
        <v>Susijęs nacionalinis poreikis 2</v>
      </c>
      <c r="C269" s="647" t="str">
        <f>'4'!S15</f>
        <v>Pasirinkite</v>
      </c>
    </row>
    <row r="270" spans="1:3" x14ac:dyDescent="0.3">
      <c r="A270" s="2" t="s">
        <v>86</v>
      </c>
      <c r="B270" s="509" t="str">
        <f t="shared" si="14"/>
        <v>Susijęs nacionalinis poreikis 3</v>
      </c>
      <c r="C270" s="647" t="str">
        <f>'4'!S16</f>
        <v>Pasirinkite</v>
      </c>
    </row>
    <row r="271" spans="1:3" ht="28.8" x14ac:dyDescent="0.3">
      <c r="A271" s="2" t="s">
        <v>87</v>
      </c>
      <c r="B271" s="509" t="str">
        <f t="shared" si="14"/>
        <v>Ar poreikis siejasi su rezultato rodikliu R.3 (skaitmeninės technologijos; pilnas rodiklio pavadinimas 6 lape)?</v>
      </c>
      <c r="C271" s="648" t="str">
        <f>'4'!S17</f>
        <v>Ne</v>
      </c>
    </row>
    <row r="272" spans="1:3" ht="28.8" x14ac:dyDescent="0.3">
      <c r="A272" s="2" t="s">
        <v>88</v>
      </c>
      <c r="B272" s="509" t="str">
        <f t="shared" si="14"/>
        <v>Ar poreikis siejasi su rezultato rodikliu R.37 (darbo vietos; pilnas rodiklio pavadinimas 6 lape)?</v>
      </c>
      <c r="C272" s="648" t="str">
        <f>'4'!S18</f>
        <v>Ne</v>
      </c>
    </row>
    <row r="273" spans="1:3" ht="28.8" x14ac:dyDescent="0.3">
      <c r="A273" s="2" t="s">
        <v>89</v>
      </c>
      <c r="B273" s="509" t="str">
        <f t="shared" si="14"/>
        <v>Poreikis siejasi su rezultato rodikliu R.39 (kaimo verslai; pilnas rodiklio pavadinimas 6 lape)</v>
      </c>
      <c r="C273" s="648" t="str">
        <f>'4'!S19</f>
        <v>Ne</v>
      </c>
    </row>
    <row r="274" spans="1:3" ht="28.8" x14ac:dyDescent="0.3">
      <c r="A274" s="2" t="s">
        <v>90</v>
      </c>
      <c r="B274" s="509" t="str">
        <f t="shared" si="14"/>
        <v>Poreikis siejasi su rezultato rodikliu R.41 (paslaugos ir infrastruktūra; pilnas rodiklio pavadinimas 6 lape)</v>
      </c>
      <c r="C274" s="648" t="str">
        <f>'4'!S20</f>
        <v>Ne</v>
      </c>
    </row>
    <row r="275" spans="1:3" ht="28.8" x14ac:dyDescent="0.3">
      <c r="A275" s="2" t="s">
        <v>91</v>
      </c>
      <c r="B275" s="509" t="str">
        <f t="shared" si="14"/>
        <v>Poreikis siejasi su rezultato rodikliu R.42 (socialinė įtrauktis; pilnas rodiklio pavadinimas 6 lape)</v>
      </c>
      <c r="C275" s="648" t="str">
        <f>'4'!S21</f>
        <v>Ne</v>
      </c>
    </row>
    <row r="276" spans="1:3" x14ac:dyDescent="0.3">
      <c r="B276" s="649"/>
      <c r="C276" s="650"/>
    </row>
    <row r="277" spans="1:3" x14ac:dyDescent="0.3">
      <c r="B277" s="651"/>
      <c r="C277" s="652" t="str">
        <f>'4'!T6</f>
        <v>17 poreikis</v>
      </c>
    </row>
    <row r="278" spans="1:3" x14ac:dyDescent="0.3">
      <c r="A278" s="2" t="s">
        <v>16</v>
      </c>
      <c r="B278" s="509" t="str">
        <f>B261</f>
        <v>Poreikis</v>
      </c>
      <c r="C278" s="644">
        <f>'4'!T7</f>
        <v>0</v>
      </c>
    </row>
    <row r="279" spans="1:3" x14ac:dyDescent="0.3">
      <c r="A279" s="2" t="s">
        <v>17</v>
      </c>
      <c r="B279" s="509" t="str">
        <f t="shared" ref="B279:B292" si="15">B262</f>
        <v>Poreikio sąsaja su stiprybėmis ir (arba) galimybėmis</v>
      </c>
      <c r="C279" s="645">
        <f>'4'!T8</f>
        <v>0</v>
      </c>
    </row>
    <row r="280" spans="1:3" x14ac:dyDescent="0.3">
      <c r="A280" s="2" t="s">
        <v>79</v>
      </c>
      <c r="B280" s="509" t="str">
        <f t="shared" si="15"/>
        <v>Poreikio sąsaja su silpnybėmis ir (arba) grėsmėmis</v>
      </c>
      <c r="C280" s="645">
        <f>'4'!T9</f>
        <v>0</v>
      </c>
    </row>
    <row r="281" spans="1:3" ht="43.2" x14ac:dyDescent="0.3">
      <c r="A281" s="2" t="s">
        <v>80</v>
      </c>
      <c r="B281" s="509" t="str">
        <f t="shared" si="15"/>
        <v>Poreikio sąsaja su situacijos analizės rodikliais (poreikio dydžio, problemos masto, intervencijos poreikio kiekybinis pagrindimas)</v>
      </c>
      <c r="C281" s="645">
        <f>'4'!T10</f>
        <v>0</v>
      </c>
    </row>
    <row r="282" spans="1:3" ht="28.8" x14ac:dyDescent="0.3">
      <c r="A282" s="2" t="s">
        <v>81</v>
      </c>
      <c r="B282" s="509" t="str">
        <f t="shared" si="15"/>
        <v>Poreikio sąsaja su aukštesnio lygmens strateginiais dokumentais</v>
      </c>
      <c r="C282" s="645">
        <f>'4'!T11</f>
        <v>0</v>
      </c>
    </row>
    <row r="283" spans="1:3" x14ac:dyDescent="0.3">
      <c r="A283" s="2" t="s">
        <v>82</v>
      </c>
      <c r="B283" s="509" t="str">
        <f t="shared" si="15"/>
        <v>Poreikio sąsaja su VVG teritorijos gyventojų nuomone</v>
      </c>
      <c r="C283" s="645">
        <f>'4'!T12</f>
        <v>0</v>
      </c>
    </row>
    <row r="284" spans="1:3" x14ac:dyDescent="0.3">
      <c r="A284" s="2" t="s">
        <v>83</v>
      </c>
      <c r="B284" s="509" t="str">
        <f t="shared" si="15"/>
        <v>Poreikį tenkinančių VPS priemonių skaičius</v>
      </c>
      <c r="C284" s="646">
        <f>'4'!T13</f>
        <v>0</v>
      </c>
    </row>
    <row r="285" spans="1:3" x14ac:dyDescent="0.3">
      <c r="A285" s="2" t="s">
        <v>84</v>
      </c>
      <c r="B285" s="509" t="str">
        <f t="shared" si="15"/>
        <v>Susijęs nacionalinis poreikis 1</v>
      </c>
      <c r="C285" s="647" t="str">
        <f>'4'!T14</f>
        <v>Pasirinkite</v>
      </c>
    </row>
    <row r="286" spans="1:3" x14ac:dyDescent="0.3">
      <c r="A286" s="2" t="s">
        <v>85</v>
      </c>
      <c r="B286" s="509" t="str">
        <f t="shared" si="15"/>
        <v>Susijęs nacionalinis poreikis 2</v>
      </c>
      <c r="C286" s="647" t="str">
        <f>'4'!T15</f>
        <v>Pasirinkite</v>
      </c>
    </row>
    <row r="287" spans="1:3" x14ac:dyDescent="0.3">
      <c r="A287" s="2" t="s">
        <v>86</v>
      </c>
      <c r="B287" s="509" t="str">
        <f t="shared" si="15"/>
        <v>Susijęs nacionalinis poreikis 3</v>
      </c>
      <c r="C287" s="647" t="str">
        <f>'4'!T16</f>
        <v>Pasirinkite</v>
      </c>
    </row>
    <row r="288" spans="1:3" ht="28.8" x14ac:dyDescent="0.3">
      <c r="A288" s="2" t="s">
        <v>87</v>
      </c>
      <c r="B288" s="509" t="str">
        <f t="shared" si="15"/>
        <v>Ar poreikis siejasi su rezultato rodikliu R.3 (skaitmeninės technologijos; pilnas rodiklio pavadinimas 6 lape)?</v>
      </c>
      <c r="C288" s="648" t="str">
        <f>'4'!T17</f>
        <v>Ne</v>
      </c>
    </row>
    <row r="289" spans="1:3" ht="28.8" x14ac:dyDescent="0.3">
      <c r="A289" s="2" t="s">
        <v>88</v>
      </c>
      <c r="B289" s="509" t="str">
        <f t="shared" si="15"/>
        <v>Ar poreikis siejasi su rezultato rodikliu R.37 (darbo vietos; pilnas rodiklio pavadinimas 6 lape)?</v>
      </c>
      <c r="C289" s="648" t="str">
        <f>'4'!T18</f>
        <v>Ne</v>
      </c>
    </row>
    <row r="290" spans="1:3" ht="28.8" x14ac:dyDescent="0.3">
      <c r="A290" s="2" t="s">
        <v>89</v>
      </c>
      <c r="B290" s="509" t="str">
        <f t="shared" si="15"/>
        <v>Poreikis siejasi su rezultato rodikliu R.39 (kaimo verslai; pilnas rodiklio pavadinimas 6 lape)</v>
      </c>
      <c r="C290" s="648" t="str">
        <f>'4'!T19</f>
        <v>Ne</v>
      </c>
    </row>
    <row r="291" spans="1:3" ht="28.8" x14ac:dyDescent="0.3">
      <c r="A291" s="2" t="s">
        <v>90</v>
      </c>
      <c r="B291" s="509" t="str">
        <f t="shared" si="15"/>
        <v>Poreikis siejasi su rezultato rodikliu R.41 (paslaugos ir infrastruktūra; pilnas rodiklio pavadinimas 6 lape)</v>
      </c>
      <c r="C291" s="648" t="str">
        <f>'4'!T20</f>
        <v>Ne</v>
      </c>
    </row>
    <row r="292" spans="1:3" ht="28.8" x14ac:dyDescent="0.3">
      <c r="A292" s="2" t="s">
        <v>91</v>
      </c>
      <c r="B292" s="509" t="str">
        <f t="shared" si="15"/>
        <v>Poreikis siejasi su rezultato rodikliu R.42 (socialinė įtrauktis; pilnas rodiklio pavadinimas 6 lape)</v>
      </c>
      <c r="C292" s="648" t="str">
        <f>'4'!T21</f>
        <v>Ne</v>
      </c>
    </row>
    <row r="293" spans="1:3" x14ac:dyDescent="0.3">
      <c r="B293" s="649"/>
      <c r="C293" s="650"/>
    </row>
    <row r="294" spans="1:3" x14ac:dyDescent="0.3">
      <c r="B294" s="651"/>
      <c r="C294" s="652" t="str">
        <f>'4'!U6</f>
        <v>18 poreikis</v>
      </c>
    </row>
    <row r="295" spans="1:3" x14ac:dyDescent="0.3">
      <c r="A295" s="2" t="s">
        <v>16</v>
      </c>
      <c r="B295" s="509" t="str">
        <f>B278</f>
        <v>Poreikis</v>
      </c>
      <c r="C295" s="644">
        <f>'4'!U7</f>
        <v>0</v>
      </c>
    </row>
    <row r="296" spans="1:3" x14ac:dyDescent="0.3">
      <c r="A296" s="2" t="s">
        <v>17</v>
      </c>
      <c r="B296" s="509" t="str">
        <f t="shared" ref="B296:B309" si="16">B279</f>
        <v>Poreikio sąsaja su stiprybėmis ir (arba) galimybėmis</v>
      </c>
      <c r="C296" s="645">
        <f>'4'!U8</f>
        <v>0</v>
      </c>
    </row>
    <row r="297" spans="1:3" x14ac:dyDescent="0.3">
      <c r="A297" s="2" t="s">
        <v>79</v>
      </c>
      <c r="B297" s="509" t="str">
        <f t="shared" si="16"/>
        <v>Poreikio sąsaja su silpnybėmis ir (arba) grėsmėmis</v>
      </c>
      <c r="C297" s="645">
        <f>'4'!U9</f>
        <v>0</v>
      </c>
    </row>
    <row r="298" spans="1:3" ht="43.2" x14ac:dyDescent="0.3">
      <c r="A298" s="2" t="s">
        <v>80</v>
      </c>
      <c r="B298" s="509" t="str">
        <f t="shared" si="16"/>
        <v>Poreikio sąsaja su situacijos analizės rodikliais (poreikio dydžio, problemos masto, intervencijos poreikio kiekybinis pagrindimas)</v>
      </c>
      <c r="C298" s="645">
        <f>'4'!U10</f>
        <v>0</v>
      </c>
    </row>
    <row r="299" spans="1:3" ht="28.8" x14ac:dyDescent="0.3">
      <c r="A299" s="2" t="s">
        <v>81</v>
      </c>
      <c r="B299" s="509" t="str">
        <f t="shared" si="16"/>
        <v>Poreikio sąsaja su aukštesnio lygmens strateginiais dokumentais</v>
      </c>
      <c r="C299" s="645">
        <f>'4'!U11</f>
        <v>0</v>
      </c>
    </row>
    <row r="300" spans="1:3" x14ac:dyDescent="0.3">
      <c r="A300" s="2" t="s">
        <v>82</v>
      </c>
      <c r="B300" s="509" t="str">
        <f t="shared" si="16"/>
        <v>Poreikio sąsaja su VVG teritorijos gyventojų nuomone</v>
      </c>
      <c r="C300" s="645">
        <f>'4'!U12</f>
        <v>0</v>
      </c>
    </row>
    <row r="301" spans="1:3" x14ac:dyDescent="0.3">
      <c r="A301" s="2" t="s">
        <v>83</v>
      </c>
      <c r="B301" s="509" t="str">
        <f t="shared" si="16"/>
        <v>Poreikį tenkinančių VPS priemonių skaičius</v>
      </c>
      <c r="C301" s="646">
        <f>'4'!U13</f>
        <v>0</v>
      </c>
    </row>
    <row r="302" spans="1:3" x14ac:dyDescent="0.3">
      <c r="A302" s="2" t="s">
        <v>84</v>
      </c>
      <c r="B302" s="509" t="str">
        <f t="shared" si="16"/>
        <v>Susijęs nacionalinis poreikis 1</v>
      </c>
      <c r="C302" s="647" t="str">
        <f>'4'!U14</f>
        <v>Pasirinkite</v>
      </c>
    </row>
    <row r="303" spans="1:3" x14ac:dyDescent="0.3">
      <c r="A303" s="2" t="s">
        <v>85</v>
      </c>
      <c r="B303" s="509" t="str">
        <f t="shared" si="16"/>
        <v>Susijęs nacionalinis poreikis 2</v>
      </c>
      <c r="C303" s="647" t="str">
        <f>'4'!U15</f>
        <v>Pasirinkite</v>
      </c>
    </row>
    <row r="304" spans="1:3" x14ac:dyDescent="0.3">
      <c r="A304" s="2" t="s">
        <v>86</v>
      </c>
      <c r="B304" s="509" t="str">
        <f t="shared" si="16"/>
        <v>Susijęs nacionalinis poreikis 3</v>
      </c>
      <c r="C304" s="647" t="str">
        <f>'4'!U16</f>
        <v>Pasirinkite</v>
      </c>
    </row>
    <row r="305" spans="1:3" ht="28.8" x14ac:dyDescent="0.3">
      <c r="A305" s="2" t="s">
        <v>87</v>
      </c>
      <c r="B305" s="509" t="str">
        <f t="shared" si="16"/>
        <v>Ar poreikis siejasi su rezultato rodikliu R.3 (skaitmeninės technologijos; pilnas rodiklio pavadinimas 6 lape)?</v>
      </c>
      <c r="C305" s="648" t="str">
        <f>'4'!U17</f>
        <v>Ne</v>
      </c>
    </row>
    <row r="306" spans="1:3" ht="28.8" x14ac:dyDescent="0.3">
      <c r="A306" s="2" t="s">
        <v>88</v>
      </c>
      <c r="B306" s="509" t="str">
        <f t="shared" si="16"/>
        <v>Ar poreikis siejasi su rezultato rodikliu R.37 (darbo vietos; pilnas rodiklio pavadinimas 6 lape)?</v>
      </c>
      <c r="C306" s="648" t="str">
        <f>'4'!U18</f>
        <v>Ne</v>
      </c>
    </row>
    <row r="307" spans="1:3" ht="28.8" x14ac:dyDescent="0.3">
      <c r="A307" s="2" t="s">
        <v>89</v>
      </c>
      <c r="B307" s="509" t="str">
        <f t="shared" si="16"/>
        <v>Poreikis siejasi su rezultato rodikliu R.39 (kaimo verslai; pilnas rodiklio pavadinimas 6 lape)</v>
      </c>
      <c r="C307" s="648" t="str">
        <f>'4'!U19</f>
        <v>Ne</v>
      </c>
    </row>
    <row r="308" spans="1:3" ht="28.8" x14ac:dyDescent="0.3">
      <c r="A308" s="2" t="s">
        <v>90</v>
      </c>
      <c r="B308" s="509" t="str">
        <f t="shared" si="16"/>
        <v>Poreikis siejasi su rezultato rodikliu R.41 (paslaugos ir infrastruktūra; pilnas rodiklio pavadinimas 6 lape)</v>
      </c>
      <c r="C308" s="648" t="str">
        <f>'4'!U20</f>
        <v>Ne</v>
      </c>
    </row>
    <row r="309" spans="1:3" ht="28.8" x14ac:dyDescent="0.3">
      <c r="A309" s="2" t="s">
        <v>91</v>
      </c>
      <c r="B309" s="509" t="str">
        <f t="shared" si="16"/>
        <v>Poreikis siejasi su rezultato rodikliu R.42 (socialinė įtrauktis; pilnas rodiklio pavadinimas 6 lape)</v>
      </c>
      <c r="C309" s="648" t="str">
        <f>'4'!U21</f>
        <v>Ne</v>
      </c>
    </row>
    <row r="310" spans="1:3" x14ac:dyDescent="0.3">
      <c r="B310" s="649"/>
      <c r="C310" s="650"/>
    </row>
    <row r="311" spans="1:3" x14ac:dyDescent="0.3">
      <c r="B311" s="651"/>
      <c r="C311" s="652" t="str">
        <f>'4'!V6</f>
        <v>19 poreikis</v>
      </c>
    </row>
    <row r="312" spans="1:3" x14ac:dyDescent="0.3">
      <c r="A312" s="2" t="s">
        <v>16</v>
      </c>
      <c r="B312" s="509" t="str">
        <f>B295</f>
        <v>Poreikis</v>
      </c>
      <c r="C312" s="644">
        <f>'4'!V7</f>
        <v>0</v>
      </c>
    </row>
    <row r="313" spans="1:3" x14ac:dyDescent="0.3">
      <c r="A313" s="2" t="s">
        <v>17</v>
      </c>
      <c r="B313" s="509" t="str">
        <f t="shared" ref="B313:B326" si="17">B296</f>
        <v>Poreikio sąsaja su stiprybėmis ir (arba) galimybėmis</v>
      </c>
      <c r="C313" s="645">
        <f>'4'!V8</f>
        <v>0</v>
      </c>
    </row>
    <row r="314" spans="1:3" x14ac:dyDescent="0.3">
      <c r="A314" s="2" t="s">
        <v>79</v>
      </c>
      <c r="B314" s="509" t="str">
        <f t="shared" si="17"/>
        <v>Poreikio sąsaja su silpnybėmis ir (arba) grėsmėmis</v>
      </c>
      <c r="C314" s="645">
        <f>'4'!V9</f>
        <v>0</v>
      </c>
    </row>
    <row r="315" spans="1:3" ht="43.2" x14ac:dyDescent="0.3">
      <c r="A315" s="2" t="s">
        <v>80</v>
      </c>
      <c r="B315" s="509" t="str">
        <f t="shared" si="17"/>
        <v>Poreikio sąsaja su situacijos analizės rodikliais (poreikio dydžio, problemos masto, intervencijos poreikio kiekybinis pagrindimas)</v>
      </c>
      <c r="C315" s="645">
        <f>'4'!V10</f>
        <v>0</v>
      </c>
    </row>
    <row r="316" spans="1:3" ht="28.8" x14ac:dyDescent="0.3">
      <c r="A316" s="2" t="s">
        <v>81</v>
      </c>
      <c r="B316" s="509" t="str">
        <f t="shared" si="17"/>
        <v>Poreikio sąsaja su aukštesnio lygmens strateginiais dokumentais</v>
      </c>
      <c r="C316" s="645">
        <f>'4'!V11</f>
        <v>0</v>
      </c>
    </row>
    <row r="317" spans="1:3" x14ac:dyDescent="0.3">
      <c r="A317" s="2" t="s">
        <v>82</v>
      </c>
      <c r="B317" s="509" t="str">
        <f t="shared" si="17"/>
        <v>Poreikio sąsaja su VVG teritorijos gyventojų nuomone</v>
      </c>
      <c r="C317" s="645">
        <f>'4'!V12</f>
        <v>0</v>
      </c>
    </row>
    <row r="318" spans="1:3" x14ac:dyDescent="0.3">
      <c r="A318" s="2" t="s">
        <v>83</v>
      </c>
      <c r="B318" s="509" t="str">
        <f t="shared" si="17"/>
        <v>Poreikį tenkinančių VPS priemonių skaičius</v>
      </c>
      <c r="C318" s="646">
        <f>'4'!V13</f>
        <v>0</v>
      </c>
    </row>
    <row r="319" spans="1:3" x14ac:dyDescent="0.3">
      <c r="A319" s="2" t="s">
        <v>84</v>
      </c>
      <c r="B319" s="509" t="str">
        <f t="shared" si="17"/>
        <v>Susijęs nacionalinis poreikis 1</v>
      </c>
      <c r="C319" s="647" t="str">
        <f>'4'!V14</f>
        <v>Pasirinkite</v>
      </c>
    </row>
    <row r="320" spans="1:3" x14ac:dyDescent="0.3">
      <c r="A320" s="2" t="s">
        <v>85</v>
      </c>
      <c r="B320" s="509" t="str">
        <f t="shared" si="17"/>
        <v>Susijęs nacionalinis poreikis 2</v>
      </c>
      <c r="C320" s="647" t="str">
        <f>'4'!V15</f>
        <v>Pasirinkite</v>
      </c>
    </row>
    <row r="321" spans="1:3" x14ac:dyDescent="0.3">
      <c r="A321" s="2" t="s">
        <v>86</v>
      </c>
      <c r="B321" s="509" t="str">
        <f t="shared" si="17"/>
        <v>Susijęs nacionalinis poreikis 3</v>
      </c>
      <c r="C321" s="647" t="str">
        <f>'4'!V16</f>
        <v>Pasirinkite</v>
      </c>
    </row>
    <row r="322" spans="1:3" ht="28.8" x14ac:dyDescent="0.3">
      <c r="A322" s="2" t="s">
        <v>87</v>
      </c>
      <c r="B322" s="509" t="str">
        <f t="shared" si="17"/>
        <v>Ar poreikis siejasi su rezultato rodikliu R.3 (skaitmeninės technologijos; pilnas rodiklio pavadinimas 6 lape)?</v>
      </c>
      <c r="C322" s="648" t="str">
        <f>'4'!V17</f>
        <v>Ne</v>
      </c>
    </row>
    <row r="323" spans="1:3" ht="28.8" x14ac:dyDescent="0.3">
      <c r="A323" s="2" t="s">
        <v>88</v>
      </c>
      <c r="B323" s="509" t="str">
        <f t="shared" si="17"/>
        <v>Ar poreikis siejasi su rezultato rodikliu R.37 (darbo vietos; pilnas rodiklio pavadinimas 6 lape)?</v>
      </c>
      <c r="C323" s="648" t="str">
        <f>'4'!V18</f>
        <v>Ne</v>
      </c>
    </row>
    <row r="324" spans="1:3" ht="28.8" x14ac:dyDescent="0.3">
      <c r="A324" s="2" t="s">
        <v>89</v>
      </c>
      <c r="B324" s="509" t="str">
        <f t="shared" si="17"/>
        <v>Poreikis siejasi su rezultato rodikliu R.39 (kaimo verslai; pilnas rodiklio pavadinimas 6 lape)</v>
      </c>
      <c r="C324" s="648" t="str">
        <f>'4'!V19</f>
        <v>Ne</v>
      </c>
    </row>
    <row r="325" spans="1:3" ht="28.8" x14ac:dyDescent="0.3">
      <c r="A325" s="2" t="s">
        <v>90</v>
      </c>
      <c r="B325" s="509" t="str">
        <f t="shared" si="17"/>
        <v>Poreikis siejasi su rezultato rodikliu R.41 (paslaugos ir infrastruktūra; pilnas rodiklio pavadinimas 6 lape)</v>
      </c>
      <c r="C325" s="648" t="str">
        <f>'4'!V20</f>
        <v>Ne</v>
      </c>
    </row>
    <row r="326" spans="1:3" ht="28.8" x14ac:dyDescent="0.3">
      <c r="A326" s="2" t="s">
        <v>91</v>
      </c>
      <c r="B326" s="509" t="str">
        <f t="shared" si="17"/>
        <v>Poreikis siejasi su rezultato rodikliu R.42 (socialinė įtrauktis; pilnas rodiklio pavadinimas 6 lape)</v>
      </c>
      <c r="C326" s="648" t="str">
        <f>'4'!V21</f>
        <v>Ne</v>
      </c>
    </row>
    <row r="327" spans="1:3" x14ac:dyDescent="0.3">
      <c r="B327" s="649"/>
      <c r="C327" s="650"/>
    </row>
    <row r="328" spans="1:3" x14ac:dyDescent="0.3">
      <c r="B328" s="651"/>
      <c r="C328" s="652" t="str">
        <f>'4'!W6</f>
        <v>20 poreikis</v>
      </c>
    </row>
    <row r="329" spans="1:3" x14ac:dyDescent="0.3">
      <c r="A329" s="2" t="s">
        <v>16</v>
      </c>
      <c r="B329" s="509" t="str">
        <f>B312</f>
        <v>Poreikis</v>
      </c>
      <c r="C329" s="644">
        <f>'4'!W7</f>
        <v>0</v>
      </c>
    </row>
    <row r="330" spans="1:3" x14ac:dyDescent="0.3">
      <c r="A330" s="2" t="s">
        <v>17</v>
      </c>
      <c r="B330" s="509" t="str">
        <f t="shared" ref="B330:B343" si="18">B313</f>
        <v>Poreikio sąsaja su stiprybėmis ir (arba) galimybėmis</v>
      </c>
      <c r="C330" s="645">
        <f>'4'!W8</f>
        <v>0</v>
      </c>
    </row>
    <row r="331" spans="1:3" x14ac:dyDescent="0.3">
      <c r="A331" s="2" t="s">
        <v>79</v>
      </c>
      <c r="B331" s="509" t="str">
        <f t="shared" si="18"/>
        <v>Poreikio sąsaja su silpnybėmis ir (arba) grėsmėmis</v>
      </c>
      <c r="C331" s="645">
        <f>'4'!W9</f>
        <v>0</v>
      </c>
    </row>
    <row r="332" spans="1:3" ht="43.2" x14ac:dyDescent="0.3">
      <c r="A332" s="2" t="s">
        <v>80</v>
      </c>
      <c r="B332" s="509" t="str">
        <f t="shared" si="18"/>
        <v>Poreikio sąsaja su situacijos analizės rodikliais (poreikio dydžio, problemos masto, intervencijos poreikio kiekybinis pagrindimas)</v>
      </c>
      <c r="C332" s="645">
        <f>'4'!W10</f>
        <v>0</v>
      </c>
    </row>
    <row r="333" spans="1:3" ht="28.8" x14ac:dyDescent="0.3">
      <c r="A333" s="2" t="s">
        <v>81</v>
      </c>
      <c r="B333" s="509" t="str">
        <f t="shared" si="18"/>
        <v>Poreikio sąsaja su aukštesnio lygmens strateginiais dokumentais</v>
      </c>
      <c r="C333" s="645">
        <f>'4'!W11</f>
        <v>0</v>
      </c>
    </row>
    <row r="334" spans="1:3" x14ac:dyDescent="0.3">
      <c r="A334" s="2" t="s">
        <v>82</v>
      </c>
      <c r="B334" s="509" t="str">
        <f t="shared" si="18"/>
        <v>Poreikio sąsaja su VVG teritorijos gyventojų nuomone</v>
      </c>
      <c r="C334" s="645">
        <f>'4'!W12</f>
        <v>0</v>
      </c>
    </row>
    <row r="335" spans="1:3" x14ac:dyDescent="0.3">
      <c r="A335" s="2" t="s">
        <v>83</v>
      </c>
      <c r="B335" s="509" t="str">
        <f t="shared" si="18"/>
        <v>Poreikį tenkinančių VPS priemonių skaičius</v>
      </c>
      <c r="C335" s="646">
        <f>'4'!W13</f>
        <v>0</v>
      </c>
    </row>
    <row r="336" spans="1:3" x14ac:dyDescent="0.3">
      <c r="A336" s="2" t="s">
        <v>84</v>
      </c>
      <c r="B336" s="509" t="str">
        <f t="shared" si="18"/>
        <v>Susijęs nacionalinis poreikis 1</v>
      </c>
      <c r="C336" s="647" t="str">
        <f>'4'!W14</f>
        <v>Pasirinkite</v>
      </c>
    </row>
    <row r="337" spans="1:3" x14ac:dyDescent="0.3">
      <c r="A337" s="2" t="s">
        <v>85</v>
      </c>
      <c r="B337" s="509" t="str">
        <f t="shared" si="18"/>
        <v>Susijęs nacionalinis poreikis 2</v>
      </c>
      <c r="C337" s="647" t="str">
        <f>'4'!W15</f>
        <v>Pasirinkite</v>
      </c>
    </row>
    <row r="338" spans="1:3" x14ac:dyDescent="0.3">
      <c r="A338" s="2" t="s">
        <v>86</v>
      </c>
      <c r="B338" s="509" t="str">
        <f t="shared" si="18"/>
        <v>Susijęs nacionalinis poreikis 3</v>
      </c>
      <c r="C338" s="647" t="str">
        <f>'4'!W16</f>
        <v>Pasirinkite</v>
      </c>
    </row>
    <row r="339" spans="1:3" ht="28.8" x14ac:dyDescent="0.3">
      <c r="A339" s="2" t="s">
        <v>87</v>
      </c>
      <c r="B339" s="509" t="str">
        <f t="shared" si="18"/>
        <v>Ar poreikis siejasi su rezultato rodikliu R.3 (skaitmeninės technologijos; pilnas rodiklio pavadinimas 6 lape)?</v>
      </c>
      <c r="C339" s="648" t="str">
        <f>'4'!W17</f>
        <v>Ne</v>
      </c>
    </row>
    <row r="340" spans="1:3" ht="28.8" x14ac:dyDescent="0.3">
      <c r="A340" s="2" t="s">
        <v>88</v>
      </c>
      <c r="B340" s="509" t="str">
        <f t="shared" si="18"/>
        <v>Ar poreikis siejasi su rezultato rodikliu R.37 (darbo vietos; pilnas rodiklio pavadinimas 6 lape)?</v>
      </c>
      <c r="C340" s="648" t="str">
        <f>'4'!W18</f>
        <v>Ne</v>
      </c>
    </row>
    <row r="341" spans="1:3" ht="28.8" x14ac:dyDescent="0.3">
      <c r="A341" s="2" t="s">
        <v>89</v>
      </c>
      <c r="B341" s="509" t="str">
        <f t="shared" si="18"/>
        <v>Poreikis siejasi su rezultato rodikliu R.39 (kaimo verslai; pilnas rodiklio pavadinimas 6 lape)</v>
      </c>
      <c r="C341" s="648" t="str">
        <f>'4'!W19</f>
        <v>Ne</v>
      </c>
    </row>
    <row r="342" spans="1:3" ht="28.8" x14ac:dyDescent="0.3">
      <c r="A342" s="2" t="s">
        <v>90</v>
      </c>
      <c r="B342" s="509" t="str">
        <f t="shared" si="18"/>
        <v>Poreikis siejasi su rezultato rodikliu R.41 (paslaugos ir infrastruktūra; pilnas rodiklio pavadinimas 6 lape)</v>
      </c>
      <c r="C342" s="648" t="str">
        <f>'4'!W20</f>
        <v>Ne</v>
      </c>
    </row>
    <row r="343" spans="1:3" ht="29.4" thickBot="1" x14ac:dyDescent="0.35">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E1543"/>
  <sheetViews>
    <sheetView topLeftCell="A395" zoomScaleNormal="100" workbookViewId="0">
      <selection activeCell="C379" sqref="C379"/>
    </sheetView>
  </sheetViews>
  <sheetFormatPr defaultColWidth="9.109375" defaultRowHeight="14.4" x14ac:dyDescent="0.3"/>
  <cols>
    <col min="1" max="1" width="8.6640625" style="607" customWidth="1"/>
    <col min="2" max="2" width="50.6640625" style="1" customWidth="1"/>
    <col min="3" max="3" width="50.6640625" style="383" customWidth="1"/>
    <col min="4" max="16384" width="9.109375" style="13"/>
  </cols>
  <sheetData>
    <row r="1" spans="1:5" s="113" customFormat="1" ht="18" x14ac:dyDescent="0.3">
      <c r="A1" s="116" t="str">
        <f>'10'!A1</f>
        <v>10.</v>
      </c>
      <c r="B1" s="116"/>
      <c r="E1" s="108" t="s">
        <v>1512</v>
      </c>
    </row>
    <row r="2" spans="1:5" customFormat="1" x14ac:dyDescent="0.3">
      <c r="C2" s="153"/>
      <c r="E2" s="605" t="s">
        <v>1612</v>
      </c>
    </row>
    <row r="3" spans="1:5" x14ac:dyDescent="0.3">
      <c r="A3" s="1"/>
      <c r="B3" s="140" t="s">
        <v>1272</v>
      </c>
      <c r="C3" s="608" t="str">
        <f>'1'!C8</f>
        <v>TRAK</v>
      </c>
      <c r="E3" s="606" t="s">
        <v>1640</v>
      </c>
    </row>
    <row r="4" spans="1:5" customFormat="1" ht="15" thickBot="1" x14ac:dyDescent="0.35">
      <c r="C4" s="153"/>
      <c r="E4" s="605" t="s">
        <v>1639</v>
      </c>
    </row>
    <row r="5" spans="1:5" x14ac:dyDescent="0.3">
      <c r="A5" s="1"/>
      <c r="B5" s="668"/>
      <c r="C5" s="669" t="str">
        <f>'10'!D6</f>
        <v>1 priemonė</v>
      </c>
    </row>
    <row r="6" spans="1:5" ht="28.8" x14ac:dyDescent="0.3">
      <c r="A6" s="2" t="s">
        <v>188</v>
      </c>
      <c r="B6" s="509" t="str">
        <f>'10'!B7</f>
        <v>Priemonės pavadinimas</v>
      </c>
      <c r="C6" s="670" t="str">
        <f>'10'!D7</f>
        <v>Kraštovaizdžio išsaugojimas ir pritaikymas poilsiui, sveikatinimui, turzmui</v>
      </c>
    </row>
    <row r="7" spans="1:5" x14ac:dyDescent="0.3">
      <c r="A7" s="2" t="s">
        <v>189</v>
      </c>
      <c r="B7" s="671" t="str">
        <f>'10'!B8</f>
        <v>Priemonės rūšis</v>
      </c>
      <c r="C7" s="670" t="str">
        <f>'10'!D8</f>
        <v>Veiklos projektai</v>
      </c>
    </row>
    <row r="8" spans="1:5" x14ac:dyDescent="0.3">
      <c r="A8" s="2" t="s">
        <v>190</v>
      </c>
      <c r="B8" s="671" t="str">
        <f>'10'!B9</f>
        <v>VVG teritorijos poreikių, kuriuos tenkina priemonė, skaičius</v>
      </c>
      <c r="C8" s="670">
        <f>'10'!D9</f>
        <v>3</v>
      </c>
    </row>
    <row r="9" spans="1:5" x14ac:dyDescent="0.3">
      <c r="A9" s="2" t="s">
        <v>191</v>
      </c>
      <c r="B9" s="671" t="str">
        <f>'10'!B10</f>
        <v>BŽŪP tikslų, kuriuos įgyvendina priemonė, skaičius</v>
      </c>
      <c r="C9" s="670">
        <f>'10'!D10</f>
        <v>3</v>
      </c>
    </row>
    <row r="10" spans="1:5" ht="43.2" x14ac:dyDescent="0.3">
      <c r="A10" s="2" t="s">
        <v>192</v>
      </c>
      <c r="B10" s="671" t="str">
        <f>'10'!B11</f>
        <v>Pagrindinis BŽŪP tikslas, kurį įgyvendina VPS priemonė</v>
      </c>
      <c r="C10" s="672" t="str">
        <f>'10'!D11</f>
        <v>SO6. Prisidėti prie biologinės įvairovės nykimo sustabdymo ir sustabdymo, gerinti ekosistemų funkcijas ir išsaugoti buveines bei kraštovaizdžius</v>
      </c>
    </row>
    <row r="11" spans="1:5" ht="28.8" x14ac:dyDescent="0.3">
      <c r="A11" s="2" t="s">
        <v>193</v>
      </c>
      <c r="B11" s="673" t="str">
        <f>'10'!B12</f>
        <v>Ar priemonė prisideda prie 4 konkretaus BŽŪP tikslo? (tikslas nurodytas 5 lape)</v>
      </c>
      <c r="C11" s="674" t="str">
        <f>'10'!D12</f>
        <v>Ne</v>
      </c>
    </row>
    <row r="12" spans="1:5" ht="28.8" x14ac:dyDescent="0.3">
      <c r="A12" s="2" t="s">
        <v>194</v>
      </c>
      <c r="B12" s="673" t="str">
        <f>'10'!B13</f>
        <v>Ar priemonė prisideda prie 5 konkretaus BŽŪP tikslo? (tikslas nurodytas 5 lape)</v>
      </c>
      <c r="C12" s="674" t="str">
        <f>'10'!D13</f>
        <v>Ne</v>
      </c>
    </row>
    <row r="13" spans="1:5" ht="28.8" x14ac:dyDescent="0.3">
      <c r="A13" s="2" t="s">
        <v>195</v>
      </c>
      <c r="B13" s="673" t="str">
        <f>'10'!B14</f>
        <v>Ar priemonė prisideda prie 6 konkretaus BŽŪP tikslo? (tikslas nurodytas 5 lape)</v>
      </c>
      <c r="C13" s="674" t="str">
        <f>'10'!D14</f>
        <v>Taip</v>
      </c>
    </row>
    <row r="14" spans="1:5" ht="28.8" x14ac:dyDescent="0.3">
      <c r="A14" s="2" t="s">
        <v>196</v>
      </c>
      <c r="B14" s="673" t="str">
        <f>'10'!B15</f>
        <v>Ar priemonė prisideda prie 9 konkretaus BŽŪP tikslo? (tikslas nurodytas 5 lape)</v>
      </c>
      <c r="C14" s="674" t="str">
        <f>'10'!D15</f>
        <v>Ne</v>
      </c>
    </row>
    <row r="15" spans="1:5" x14ac:dyDescent="0.3">
      <c r="A15" s="2" t="s">
        <v>94</v>
      </c>
      <c r="B15" s="675" t="str">
        <f>'10'!B16</f>
        <v>A dalis. Priemonės intervencijos logika:</v>
      </c>
      <c r="C15" s="676"/>
    </row>
    <row r="16" spans="1:5" ht="144" x14ac:dyDescent="0.3">
      <c r="A16" s="2" t="s">
        <v>197</v>
      </c>
      <c r="B16" s="673" t="str">
        <f>'10'!B17</f>
        <v>Priemonės tikslas, ryšys su pagrindiniu BŽŪP tikslu ir VVG teritorijos poreikiais (problemomis ir (arba) potencialu), ryšys su VPS tema (jei taikoma)</v>
      </c>
      <c r="C16" s="677" t="str">
        <f>'10'!D17</f>
        <v xml:space="preserve">Susitikimuose ir apklausoje buvo prieita prie išvados, kad saugomas teritorijas galima išnaudoti kaip krašto išskirtinumą ne tik turizmui, bet vietos gyventojui, skatinti gyventojus tvariai mąstyti. Gamtos paminklai,  gražios, bet dar vis apleistos erdvės, išskirtinis kraštovaizdis saugomose teritorijose - neišnaudotas potencialas. Sprendžiama problema – atsiranda natūralių laisvalaikio erdvių. Priemonė siejasi su tema, nes  skatinamas tvarios aplinkos kūrimas (nykstančios bioįvairovės,  kraštovaizdžio  saugojimas) bendradarbiaujant.  Tenkinami 1, 3 ir 4 VPS poreikiai. </v>
      </c>
    </row>
    <row r="17" spans="1:3" ht="43.2" x14ac:dyDescent="0.3">
      <c r="A17" s="2" t="s">
        <v>198</v>
      </c>
      <c r="B17" s="671" t="str">
        <f>'10'!B18</f>
        <v>Pokytis, kurio siekiama VPS priemone</v>
      </c>
      <c r="C17" s="677" t="str">
        <f>'10'!D18</f>
        <v xml:space="preserve">Planuojami 8 projektai VVG teritorijoje. Bus patenkinti 1, 3 ir 4 poreikiai. Sutvarkytos/pritaikytos ne mažiau kaip 8 viešosios erdvės gamtoje. </v>
      </c>
    </row>
    <row r="18" spans="1:3" ht="28.8" x14ac:dyDescent="0.3">
      <c r="A18" s="2" t="s">
        <v>199</v>
      </c>
      <c r="B18" s="509" t="str">
        <f>'10'!B19</f>
        <v>Kaip priemonė prisidės prie horizontalaus tikslo d įgyvendinimo? (pildoma, jei taikoma)</v>
      </c>
      <c r="C18" s="677" t="str">
        <f>'10'!D19</f>
        <v>Netaikoma</v>
      </c>
    </row>
    <row r="19" spans="1:3" ht="28.8" x14ac:dyDescent="0.3">
      <c r="A19" s="2" t="s">
        <v>200</v>
      </c>
      <c r="B19" s="509" t="str">
        <f>'10'!B20</f>
        <v>Kaip priemonė prisidės prie horizontalaus tikslo e įgyvendinimo? (pildoma, jei taikoma)</v>
      </c>
      <c r="C19" s="677" t="str">
        <f>'10'!D20</f>
        <v xml:space="preserve">Netaikoma </v>
      </c>
    </row>
    <row r="20" spans="1:3" ht="28.8" x14ac:dyDescent="0.3">
      <c r="A20" s="2" t="s">
        <v>201</v>
      </c>
      <c r="B20" s="509" t="str">
        <f>'10'!B21</f>
        <v>Kaip priemonė prisidės prie horizontalaus tikslo f įgyvendinimo? (pildoma, jei taikoma)</v>
      </c>
      <c r="C20" s="677" t="str">
        <f>'10'!D21</f>
        <v xml:space="preserve">Bus privalomi partneriai. </v>
      </c>
    </row>
    <row r="21" spans="1:3" ht="28.8" x14ac:dyDescent="0.3">
      <c r="A21" s="2" t="s">
        <v>202</v>
      </c>
      <c r="B21" s="509" t="str">
        <f>'10'!B22</f>
        <v>Kaip priemonė prisidės prie horizontalaus tikslo i įgyvendinimo? (pildoma, jei taikoma)</v>
      </c>
      <c r="C21" s="677" t="str">
        <f>'10'!D22</f>
        <v>Netaikoma.</v>
      </c>
    </row>
    <row r="22" spans="1:3" ht="28.8" x14ac:dyDescent="0.3">
      <c r="A22" s="2" t="s">
        <v>203</v>
      </c>
      <c r="B22" s="675" t="str">
        <f>'10'!B23</f>
        <v>B dalis. Pareiškėjų ir projektų tinkamumo sąlygos, projektų atrankos principai:</v>
      </c>
      <c r="C22" s="676"/>
    </row>
    <row r="23" spans="1:3" ht="43.2" x14ac:dyDescent="0.3">
      <c r="A23" s="2" t="s">
        <v>204</v>
      </c>
      <c r="B23" s="509" t="str">
        <f>'10'!B24</f>
        <v>Pagal priemonę remiamos veiklos</v>
      </c>
      <c r="C23" s="677" t="str">
        <f>'10'!D24</f>
        <v>Talkos, akcijos, plenerai, stovyklos, eko dirbtuvės, kiti renginiai, susiję su kraštovaizdžio išsaugojimu pritaikant erdves.</v>
      </c>
    </row>
    <row r="24" spans="1:3" ht="43.2" x14ac:dyDescent="0.3">
      <c r="A24" s="2" t="s">
        <v>205</v>
      </c>
      <c r="B24" s="671" t="str">
        <f>'10'!B25</f>
        <v>Tinkami pareiškėjai ir partneriai (jei taikomas reikalavimas projektus įgyvendinti su partneriais)</v>
      </c>
      <c r="C24" s="677" t="str">
        <f>'10'!D25</f>
        <v>Pareiškėjai - visos NVO, kurių veikla atitinka NVO apibrėžtį.   Partneriai - NVO, kurių veikla atitinka NVO apibrėžtį, biudžetinės įstaigos.</v>
      </c>
    </row>
    <row r="25" spans="1:3" ht="28.8" x14ac:dyDescent="0.3">
      <c r="A25" s="2" t="s">
        <v>206</v>
      </c>
      <c r="B25" s="671" t="str">
        <f>'10'!B26</f>
        <v>Priemonės tikslinė grupė (pildoma, jei nesutampa su tinkamais pareiškėjais ir (arba) partneriais)</v>
      </c>
      <c r="C25" s="677" t="str">
        <f>'10'!D26</f>
        <v>Trakų krašto vietos veikos grupės NVO, biudžetinių įstaigų atstovai</v>
      </c>
    </row>
    <row r="26" spans="1:3" ht="28.8" x14ac:dyDescent="0.3">
      <c r="A26" s="2" t="s">
        <v>725</v>
      </c>
      <c r="B26" s="509" t="str">
        <f>'10'!B27</f>
        <v>Tinkamumo sąlygos pareiškėjams ir projektams</v>
      </c>
      <c r="C26" s="677" t="str">
        <f>'10'!D27</f>
        <v xml:space="preserve">Tinkamumo sąlygos pareiškėjams  ir  vietos projektams bus nurodytos Vietos projektų administravimo taisyklėse. </v>
      </c>
    </row>
    <row r="27" spans="1:3" ht="72" x14ac:dyDescent="0.3">
      <c r="A27" s="2" t="s">
        <v>726</v>
      </c>
      <c r="B27" s="673" t="str">
        <f>'10'!B28</f>
        <v>Projektų atrankos principai</v>
      </c>
      <c r="C27" s="677" t="str">
        <f>'10'!D28</f>
        <v>1.	Projekto dalyviai daugiau kaip iš penkių VVG teritorijos gyvenamųjų vietovių. 
2.	Taikomos inovacijos vietos lygiu. Detalus atrankos kriterijų sąrašas bus nustatomas priemonės įgyvendinimo taisyklėse</v>
      </c>
    </row>
    <row r="28" spans="1:3" x14ac:dyDescent="0.3">
      <c r="A28" s="2" t="s">
        <v>727</v>
      </c>
      <c r="B28" s="509" t="str">
        <f>'10'!B29</f>
        <v>Planuojamų kvietimų teikti paraiškas skaičius</v>
      </c>
      <c r="C28" s="670">
        <f>'10'!D29</f>
        <v>5</v>
      </c>
    </row>
    <row r="29" spans="1:3" x14ac:dyDescent="0.3">
      <c r="A29" s="2" t="s">
        <v>728</v>
      </c>
      <c r="B29" s="651" t="str">
        <f>'10'!B30</f>
        <v>C dalis. Paramos dydžiai:</v>
      </c>
      <c r="C29" s="676"/>
    </row>
    <row r="30" spans="1:3" x14ac:dyDescent="0.3">
      <c r="A30" s="2" t="s">
        <v>729</v>
      </c>
      <c r="B30" s="509" t="str">
        <f>'10'!B31</f>
        <v>Didžiausia paramos suma vietos projektui, Eur</v>
      </c>
      <c r="C30" s="677">
        <f>'10'!D31</f>
        <v>24000</v>
      </c>
    </row>
    <row r="31" spans="1:3" x14ac:dyDescent="0.3">
      <c r="A31" s="2" t="s">
        <v>730</v>
      </c>
      <c r="B31" s="509" t="str">
        <f>'10'!B32</f>
        <v xml:space="preserve">Paramos lyginamoji dalis, proc. </v>
      </c>
      <c r="C31" s="677" t="str">
        <f>'10'!D32</f>
        <v>iki 90</v>
      </c>
    </row>
    <row r="32" spans="1:3" x14ac:dyDescent="0.3">
      <c r="A32" s="2" t="s">
        <v>731</v>
      </c>
      <c r="B32" s="509" t="str">
        <f>'10'!B33</f>
        <v>Planuojama paramos suma priemonei, Eur</v>
      </c>
      <c r="C32" s="678">
        <f>'10'!D33</f>
        <v>192000</v>
      </c>
    </row>
    <row r="33" spans="1:3" x14ac:dyDescent="0.3">
      <c r="A33" s="2" t="s">
        <v>732</v>
      </c>
      <c r="B33" s="509" t="str">
        <f>'10'!B34</f>
        <v>Planuojama paremti projektų (rodiklis L700)</v>
      </c>
      <c r="C33" s="679">
        <f>'10'!D34</f>
        <v>8</v>
      </c>
    </row>
    <row r="34" spans="1:3" ht="57.6" x14ac:dyDescent="0.3">
      <c r="A34" s="2" t="s">
        <v>733</v>
      </c>
      <c r="B34" s="509" t="str">
        <f>'10'!B35</f>
        <v>Paaiškinimas, kaip nustatyta rodiklio L700 reikšmė</v>
      </c>
      <c r="C34" s="677" t="str">
        <f>'10'!D35</f>
        <v xml:space="preserve">Pagal priemonę planuojamų paremti projektų skaičius apskaičiuotas pagal seniūnijų skaičių, bus siekiama, kad kiekvienoje seniūnijoje būtų sutvarkta po erdvę. 8 seniūnijos, 8 erdvės. </v>
      </c>
    </row>
    <row r="35" spans="1:3" ht="28.8" x14ac:dyDescent="0.3">
      <c r="A35" s="2" t="s">
        <v>734</v>
      </c>
      <c r="B35" s="651" t="str">
        <f>'10'!B36</f>
        <v>D dalis. Priemonės indėlis į ES ir nacionalinių horizontaliųjų principų įgyvendinimą:</v>
      </c>
      <c r="C35" s="676"/>
    </row>
    <row r="36" spans="1:3" x14ac:dyDescent="0.3">
      <c r="A36" s="2" t="s">
        <v>735</v>
      </c>
      <c r="B36" s="680" t="str">
        <f>'10'!B37</f>
        <v>Subregioninės vietovės principas:</v>
      </c>
      <c r="C36" s="676"/>
    </row>
    <row r="37" spans="1:3" ht="28.8" x14ac:dyDescent="0.3">
      <c r="A37" s="2" t="s">
        <v>736</v>
      </c>
      <c r="B37" s="509" t="str">
        <f>'10'!B38</f>
        <v>Ar siekiama, kad pagal priemonę finansuojami projektai apimtų visas VVG teritorijos seniūnijas?</v>
      </c>
      <c r="C37" s="672" t="str">
        <f>'10'!D38</f>
        <v>Taip</v>
      </c>
    </row>
    <row r="38" spans="1:3" ht="72" x14ac:dyDescent="0.3">
      <c r="A38" s="2" t="s">
        <v>737</v>
      </c>
      <c r="B38" s="509" t="str">
        <f>'10'!B39</f>
        <v>Pasirinkimo pagrindimas</v>
      </c>
      <c r="C38" s="677" t="str">
        <f>'10'!D39</f>
        <v>8 projektai, 8 seniūnijos. Bus sudarytos sąlygos teikti paraiškas bet kurios seniniūnijos pareiškėjams. Veiklų specifika sudarys galimybes projekto rezultatais naudotis visiems VVG teritorijos gyventojams. Bus užtikrintas Taisyklių 17.2.3.1 punkto įgyvendinimas .</v>
      </c>
    </row>
    <row r="39" spans="1:3" x14ac:dyDescent="0.3">
      <c r="A39" s="2" t="s">
        <v>738</v>
      </c>
      <c r="B39" s="680" t="str">
        <f>'10'!B40</f>
        <v>Partnerystės principas:</v>
      </c>
      <c r="C39" s="676"/>
    </row>
    <row r="40" spans="1:3" ht="28.8" x14ac:dyDescent="0.3">
      <c r="A40" s="2" t="s">
        <v>739</v>
      </c>
      <c r="B40" s="509" t="str">
        <f>'10'!B41</f>
        <v>Ar siekiama, kad pagal priemonę finansuojami projektai būtų vykdomi su partneriais?</v>
      </c>
      <c r="C40" s="672" t="str">
        <f>'10'!D41</f>
        <v>Taip, pasirinktinai</v>
      </c>
    </row>
    <row r="41" spans="1:3" x14ac:dyDescent="0.3">
      <c r="A41" s="2" t="s">
        <v>740</v>
      </c>
      <c r="B41" s="509" t="str">
        <f>'10'!B42</f>
        <v>Pasirinkimo pagrindimas</v>
      </c>
      <c r="C41" s="677" t="str">
        <f>'10'!D42</f>
        <v>Suteikiami papildomi balai</v>
      </c>
    </row>
    <row r="42" spans="1:3" x14ac:dyDescent="0.3">
      <c r="A42" s="2" t="s">
        <v>741</v>
      </c>
      <c r="B42" s="680" t="str">
        <f>'10'!B43</f>
        <v>Inovacijų principas:</v>
      </c>
      <c r="C42" s="676"/>
    </row>
    <row r="43" spans="1:3" ht="28.8" x14ac:dyDescent="0.3">
      <c r="A43" s="2" t="s">
        <v>742</v>
      </c>
      <c r="B43" s="509" t="str">
        <f>'10'!B44</f>
        <v>Ar siekiama, kad pagal priemonę finansuojami projektai būtų skirti inovacijoms vietos lygiu diegti?</v>
      </c>
      <c r="C43" s="672" t="str">
        <f>'10'!D44</f>
        <v>Taip, privalomai</v>
      </c>
    </row>
    <row r="44" spans="1:3" x14ac:dyDescent="0.3">
      <c r="A44" s="2" t="s">
        <v>743</v>
      </c>
      <c r="B44" s="509" t="str">
        <f>'10'!B45</f>
        <v>Pasirinkimo pagrindimas</v>
      </c>
      <c r="C44" s="677" t="str">
        <f>'10'!D45</f>
        <v>Reikalavimas bus taikomas kaip tinkamumo sąlyga.</v>
      </c>
    </row>
    <row r="45" spans="1:3" ht="28.8" x14ac:dyDescent="0.3">
      <c r="A45" s="2" t="s">
        <v>744</v>
      </c>
      <c r="B45" s="509" t="str">
        <f>'10'!B46</f>
        <v>Planuojama paremti projektų, skirtų inovacijoms vietos lygiu diegti (rodiklis L710)</v>
      </c>
      <c r="C45" s="679">
        <f>'10'!D46</f>
        <v>8</v>
      </c>
    </row>
    <row r="46" spans="1:3" x14ac:dyDescent="0.3">
      <c r="A46" s="2" t="s">
        <v>745</v>
      </c>
      <c r="B46" s="680" t="str">
        <f>'10'!B47</f>
        <v>Lyčių lygybė ir nediskriminavimas:</v>
      </c>
      <c r="C46" s="676"/>
    </row>
    <row r="47" spans="1:3" ht="28.8" x14ac:dyDescent="0.3">
      <c r="A47" s="2" t="s">
        <v>746</v>
      </c>
      <c r="B47" s="509" t="str">
        <f>'10'!B48</f>
        <v>Ar pagal priemonę finansuojami projektai, skirti lyčių lygybei ir nediskriminavimui?</v>
      </c>
      <c r="C47" s="672" t="str">
        <f>'10'!D48</f>
        <v>Taip</v>
      </c>
    </row>
    <row r="48" spans="1:3" ht="72" x14ac:dyDescent="0.3">
      <c r="A48" s="2" t="s">
        <v>747</v>
      </c>
      <c r="B48" s="509" t="str">
        <f>'10'!B49</f>
        <v>Pasirinkimo pagrindimas (jei taip, kaip bus užtikrinta)</v>
      </c>
      <c r="C48" s="677" t="str">
        <f>'10'!D49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49" spans="1:3" x14ac:dyDescent="0.3">
      <c r="A49" s="2" t="s">
        <v>748</v>
      </c>
      <c r="B49" s="680" t="str">
        <f>'10'!B50</f>
        <v>Jaunimas:</v>
      </c>
      <c r="C49" s="676"/>
    </row>
    <row r="50" spans="1:3" x14ac:dyDescent="0.3">
      <c r="A50" s="2" t="s">
        <v>749</v>
      </c>
      <c r="B50" s="509" t="str">
        <f>'10'!B51</f>
        <v>Ar pagal priemonę finansuojami projektai, skirti jaunimui?</v>
      </c>
      <c r="C50" s="672" t="str">
        <f>'10'!D51</f>
        <v>Ne</v>
      </c>
    </row>
    <row r="51" spans="1:3" ht="43.2" x14ac:dyDescent="0.3">
      <c r="A51" s="2" t="s">
        <v>750</v>
      </c>
      <c r="B51" s="509" t="str">
        <f>'10'!B52</f>
        <v>Pasirinkimo pagrindimas (jei taip, kaip bus užtikrinta)</v>
      </c>
      <c r="C51" s="677" t="str">
        <f>'10'!D52</f>
        <v>Dalyvauti projektinėse veiklose ir juos teikti bus sudarytos vienodos sąlygos visiems, netaikant pozityvios diskriminacijos pagal amžių.</v>
      </c>
    </row>
    <row r="52" spans="1:3" x14ac:dyDescent="0.3">
      <c r="A52" s="2" t="s">
        <v>751</v>
      </c>
      <c r="B52" s="675" t="str">
        <f>'10'!B53</f>
        <v>E dalis. Priemonės rezultato rodikliai:</v>
      </c>
      <c r="C52" s="676"/>
    </row>
    <row r="53" spans="1:3" x14ac:dyDescent="0.3">
      <c r="A53" s="2" t="s">
        <v>752</v>
      </c>
      <c r="B53" s="680" t="str">
        <f>'10'!B54</f>
        <v>SP rezultato rodiklių taikymas priemonei:</v>
      </c>
      <c r="C53" s="676"/>
    </row>
    <row r="54" spans="1:3" x14ac:dyDescent="0.3">
      <c r="A54" s="2" t="s">
        <v>753</v>
      </c>
      <c r="B54" s="681" t="str">
        <f>'10'!B55</f>
        <v>R.3</v>
      </c>
      <c r="C54" s="682" t="str">
        <f>'10'!D55</f>
        <v>Ne</v>
      </c>
    </row>
    <row r="55" spans="1:3" x14ac:dyDescent="0.3">
      <c r="A55" s="2" t="s">
        <v>754</v>
      </c>
      <c r="B55" s="681" t="str">
        <f>'10'!B56</f>
        <v>R.37</v>
      </c>
      <c r="C55" s="682" t="str">
        <f>'10'!D56</f>
        <v>Ne</v>
      </c>
    </row>
    <row r="56" spans="1:3" x14ac:dyDescent="0.3">
      <c r="A56" s="2" t="s">
        <v>755</v>
      </c>
      <c r="B56" s="681" t="str">
        <f>'10'!B57</f>
        <v>R.39</v>
      </c>
      <c r="C56" s="682" t="str">
        <f>'10'!D57</f>
        <v>Ne</v>
      </c>
    </row>
    <row r="57" spans="1:3" x14ac:dyDescent="0.3">
      <c r="A57" s="2" t="s">
        <v>756</v>
      </c>
      <c r="B57" s="681" t="str">
        <f>'10'!B58</f>
        <v>R.41</v>
      </c>
      <c r="C57" s="682" t="str">
        <f>'10'!D58</f>
        <v>Taip</v>
      </c>
    </row>
    <row r="58" spans="1:3" x14ac:dyDescent="0.3">
      <c r="A58" s="2" t="s">
        <v>757</v>
      </c>
      <c r="B58" s="681" t="str">
        <f>'10'!B59</f>
        <v>R.42</v>
      </c>
      <c r="C58" s="682" t="str">
        <f>'10'!D59</f>
        <v>Taip</v>
      </c>
    </row>
    <row r="59" spans="1:3" x14ac:dyDescent="0.3">
      <c r="A59" s="2" t="s">
        <v>758</v>
      </c>
      <c r="B59" s="680" t="str">
        <f>'10'!B60</f>
        <v>VPS rodiklių taikymas priemonei:</v>
      </c>
      <c r="C59" s="676"/>
    </row>
    <row r="60" spans="1:3" x14ac:dyDescent="0.3">
      <c r="A60" s="2" t="s">
        <v>759</v>
      </c>
      <c r="B60" s="681" t="str">
        <f>'10'!B61</f>
        <v>TRAK-P.1</v>
      </c>
      <c r="C60" s="682" t="str">
        <f>'10'!D61</f>
        <v>Taip</v>
      </c>
    </row>
    <row r="61" spans="1:3" x14ac:dyDescent="0.3">
      <c r="A61" s="2" t="s">
        <v>760</v>
      </c>
      <c r="B61" s="681" t="str">
        <f>'10'!B62</f>
        <v>TRAK-P.2</v>
      </c>
      <c r="C61" s="682" t="str">
        <f>'10'!D62</f>
        <v>Ne</v>
      </c>
    </row>
    <row r="62" spans="1:3" x14ac:dyDescent="0.3">
      <c r="A62" s="2" t="s">
        <v>761</v>
      </c>
      <c r="B62" s="681" t="str">
        <f>'10'!B63</f>
        <v>TRAK-P.3</v>
      </c>
      <c r="C62" s="682" t="str">
        <f>'10'!D63</f>
        <v>Ne</v>
      </c>
    </row>
    <row r="63" spans="1:3" x14ac:dyDescent="0.3">
      <c r="A63" s="2" t="s">
        <v>762</v>
      </c>
      <c r="B63" s="681" t="str">
        <f>'10'!B64</f>
        <v>TRAK-P.4</v>
      </c>
      <c r="C63" s="682" t="str">
        <f>'10'!D64</f>
        <v>Ne</v>
      </c>
    </row>
    <row r="64" spans="1:3" x14ac:dyDescent="0.3">
      <c r="A64" s="2" t="s">
        <v>763</v>
      </c>
      <c r="B64" s="681" t="str">
        <f>'10'!B65</f>
        <v>TRAK-P.5</v>
      </c>
      <c r="C64" s="682" t="str">
        <f>'10'!D65</f>
        <v>Ne</v>
      </c>
    </row>
    <row r="65" spans="1:3" x14ac:dyDescent="0.3">
      <c r="A65" s="2" t="s">
        <v>764</v>
      </c>
      <c r="B65" s="681" t="str">
        <f>'10'!B66</f>
        <v>TRAK-P.6</v>
      </c>
      <c r="C65" s="682" t="str">
        <f>'10'!D66</f>
        <v>Ne</v>
      </c>
    </row>
    <row r="66" spans="1:3" x14ac:dyDescent="0.3">
      <c r="A66" s="2" t="s">
        <v>765</v>
      </c>
      <c r="B66" s="681" t="str">
        <f>'10'!B67</f>
        <v>TRAK-P.7</v>
      </c>
      <c r="C66" s="682" t="str">
        <f>'10'!D67</f>
        <v>Ne</v>
      </c>
    </row>
    <row r="67" spans="1:3" x14ac:dyDescent="0.3">
      <c r="A67" s="2" t="s">
        <v>766</v>
      </c>
      <c r="B67" s="681" t="str">
        <f>'10'!B68</f>
        <v>TRAK-P.8</v>
      </c>
      <c r="C67" s="682" t="str">
        <f>'10'!D68</f>
        <v>Ne</v>
      </c>
    </row>
    <row r="68" spans="1:3" x14ac:dyDescent="0.3">
      <c r="A68" s="2" t="s">
        <v>767</v>
      </c>
      <c r="B68" s="681" t="str">
        <f>'10'!B69</f>
        <v>TRAK-P.9</v>
      </c>
      <c r="C68" s="682" t="str">
        <f>'10'!D69</f>
        <v>Ne</v>
      </c>
    </row>
    <row r="69" spans="1:3" x14ac:dyDescent="0.3">
      <c r="A69" s="2" t="s">
        <v>768</v>
      </c>
      <c r="B69" s="683" t="str">
        <f>'10'!B70</f>
        <v>TRAK-P.10</v>
      </c>
      <c r="C69" s="684" t="str">
        <f>'10'!D70</f>
        <v>Ne</v>
      </c>
    </row>
    <row r="70" spans="1:3" x14ac:dyDescent="0.3">
      <c r="A70" s="2" t="s">
        <v>769</v>
      </c>
      <c r="B70" s="675" t="str">
        <f>'10'!B71</f>
        <v>F dalis. Pagal priemonę remiamų projektų pobūdis:</v>
      </c>
      <c r="C70" s="676"/>
    </row>
    <row r="71" spans="1:3" x14ac:dyDescent="0.3">
      <c r="A71" s="2" t="s">
        <v>770</v>
      </c>
      <c r="B71" s="671" t="str">
        <f>'10'!B72</f>
        <v>Remiami pelno projektai</v>
      </c>
      <c r="C71" s="672" t="str">
        <f>'10'!D72</f>
        <v>Ne</v>
      </c>
    </row>
    <row r="72" spans="1:3" ht="57.6" x14ac:dyDescent="0.3">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Taip</v>
      </c>
    </row>
    <row r="73" spans="1:3" ht="57.6" x14ac:dyDescent="0.3">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Ne</v>
      </c>
    </row>
    <row r="74" spans="1:3" ht="43.2" x14ac:dyDescent="0.3">
      <c r="A74" s="2" t="s">
        <v>773</v>
      </c>
      <c r="B74" s="673" t="str">
        <f>'10'!B75</f>
        <v>Remiami projektai, susiję su atsinaujinančios energijos gamybos pajėgumais, įskaitant biologinę (aktualu rodikliui L803)</v>
      </c>
      <c r="C74" s="672" t="str">
        <f>'10'!D75</f>
        <v>Taip</v>
      </c>
    </row>
    <row r="75" spans="1:3" ht="43.2" x14ac:dyDescent="0.3">
      <c r="A75" s="2" t="s">
        <v>774</v>
      </c>
      <c r="B75" s="673" t="str">
        <f>'10'!B76</f>
        <v>Remiami projektai, prisidedantys prie aplinkos tvarumo, klimato kaitos švelninimo bei prisitaikymo prie jos tikslų įgyvendinimo kaimo vietovėse (aktualu rodikliui L804)</v>
      </c>
      <c r="C75" s="672" t="str">
        <f>'10'!D76</f>
        <v>Taip</v>
      </c>
    </row>
    <row r="76" spans="1:3" ht="28.8" x14ac:dyDescent="0.3">
      <c r="A76" s="2" t="s">
        <v>775</v>
      </c>
      <c r="B76" s="673" t="str">
        <f>'10'!B77</f>
        <v>Remiami projektai, kurie kuria darbo vietas (aktualu rodikliui L805)</v>
      </c>
      <c r="C76" s="672" t="str">
        <f>'10'!D77</f>
        <v>Ne</v>
      </c>
    </row>
    <row r="77" spans="1:3" ht="28.8" x14ac:dyDescent="0.3">
      <c r="A77" s="2" t="s">
        <v>776</v>
      </c>
      <c r="B77" s="673" t="str">
        <f>'10'!B78</f>
        <v>Remiami kaimo verslų, įskaitant bioekonomiką, projektai (aktualu rodikliui L 806)</v>
      </c>
      <c r="C77" s="672" t="str">
        <f>'10'!D78</f>
        <v>Ne</v>
      </c>
    </row>
    <row r="78" spans="1:3" ht="28.8" x14ac:dyDescent="0.3">
      <c r="A78" s="2" t="s">
        <v>777</v>
      </c>
      <c r="B78" s="673" t="str">
        <f>'10'!B79</f>
        <v>Remiami projektai, susiję su sumanių kaimų strategijomis (aktualu rodikliui L807)</v>
      </c>
      <c r="C78" s="672" t="str">
        <f>'10'!D79</f>
        <v>Ne</v>
      </c>
    </row>
    <row r="79" spans="1:3" ht="28.8" x14ac:dyDescent="0.3">
      <c r="A79" s="2" t="s">
        <v>778</v>
      </c>
      <c r="B79" s="673" t="str">
        <f>'10'!B80</f>
        <v>Remiami projektai, gerinantys paslaugų prieinamumą ir infrastruktūrą (aktualu rodikliui L808)</v>
      </c>
      <c r="C79" s="672" t="str">
        <f>'10'!D80</f>
        <v>Taip</v>
      </c>
    </row>
    <row r="80" spans="1:3" ht="28.8" x14ac:dyDescent="0.3">
      <c r="A80" s="2" t="s">
        <v>779</v>
      </c>
      <c r="B80" s="673" t="str">
        <f>'10'!B81</f>
        <v>Remiami socialinės įtraukties projektai (aktualu rodikliui L809)</v>
      </c>
      <c r="C80" s="672" t="str">
        <f>'10'!D81</f>
        <v>Ne</v>
      </c>
    </row>
    <row r="81" spans="1:3" x14ac:dyDescent="0.3">
      <c r="A81" s="2"/>
      <c r="B81" s="649"/>
      <c r="C81" s="685"/>
    </row>
    <row r="82" spans="1:3" x14ac:dyDescent="0.3">
      <c r="A82" s="1"/>
      <c r="B82" s="362"/>
      <c r="C82" s="686" t="str">
        <f>'10'!E6</f>
        <v>2 priemonė</v>
      </c>
    </row>
    <row r="83" spans="1:3" ht="28.8" x14ac:dyDescent="0.3">
      <c r="A83" s="2" t="s">
        <v>188</v>
      </c>
      <c r="B83" s="509" t="str">
        <f>B6</f>
        <v>Priemonės pavadinimas</v>
      </c>
      <c r="C83" s="670" t="str">
        <f>'10'!E7</f>
        <v>Tvarios aplinkos kūrimas, aplinkosauginio sąmoningumo didinimas</v>
      </c>
    </row>
    <row r="84" spans="1:3" x14ac:dyDescent="0.3">
      <c r="A84" s="2" t="s">
        <v>189</v>
      </c>
      <c r="B84" s="671" t="str">
        <f t="shared" ref="B84:B147" si="0">B7</f>
        <v>Priemonės rūšis</v>
      </c>
      <c r="C84" s="670" t="str">
        <f>'10'!E8</f>
        <v>Veiklos projektai</v>
      </c>
    </row>
    <row r="85" spans="1:3" x14ac:dyDescent="0.3">
      <c r="A85" s="2" t="s">
        <v>190</v>
      </c>
      <c r="B85" s="671" t="str">
        <f t="shared" si="0"/>
        <v>VVG teritorijos poreikių, kuriuos tenkina priemonė, skaičius</v>
      </c>
      <c r="C85" s="670">
        <f>'10'!E9</f>
        <v>3</v>
      </c>
    </row>
    <row r="86" spans="1:3" x14ac:dyDescent="0.3">
      <c r="A86" s="2" t="s">
        <v>191</v>
      </c>
      <c r="B86" s="671" t="str">
        <f t="shared" si="0"/>
        <v>BŽŪP tikslų, kuriuos įgyvendina priemonė, skaičius</v>
      </c>
      <c r="C86" s="670">
        <f>'10'!E10</f>
        <v>3</v>
      </c>
    </row>
    <row r="87" spans="1:3" ht="57.6" x14ac:dyDescent="0.3">
      <c r="A87" s="2" t="s">
        <v>192</v>
      </c>
      <c r="B87" s="671" t="str">
        <f t="shared" si="0"/>
        <v>Pagrindinis BŽŪP tikslas, kurį įgyvendina VPS priemonė</v>
      </c>
      <c r="C87" s="672" t="str">
        <f>'10'!E11</f>
        <v>SO9. Gerinti Sąjungos žemės ūkio atsaką į visuomenės poreikius, susijusius su maistu ir sveikata, mažinti maisto atliekų kiekį, gerinti gyvūnų gerovę ir kovoti su atsparumu antimikrobinėms medžiagoms</v>
      </c>
    </row>
    <row r="88" spans="1:3" ht="28.8" x14ac:dyDescent="0.3">
      <c r="A88" s="2" t="s">
        <v>193</v>
      </c>
      <c r="B88" s="673" t="str">
        <f t="shared" si="0"/>
        <v>Ar priemonė prisideda prie 4 konkretaus BŽŪP tikslo? (tikslas nurodytas 5 lape)</v>
      </c>
      <c r="C88" s="672" t="str">
        <f>'10'!E12</f>
        <v>Taip</v>
      </c>
    </row>
    <row r="89" spans="1:3" ht="28.8" x14ac:dyDescent="0.3">
      <c r="A89" s="2" t="s">
        <v>194</v>
      </c>
      <c r="B89" s="673" t="str">
        <f t="shared" si="0"/>
        <v>Ar priemonė prisideda prie 5 konkretaus BŽŪP tikslo? (tikslas nurodytas 5 lape)</v>
      </c>
      <c r="C89" s="672" t="str">
        <f>'10'!E13</f>
        <v>Ne</v>
      </c>
    </row>
    <row r="90" spans="1:3" ht="28.8" x14ac:dyDescent="0.3">
      <c r="A90" s="2" t="s">
        <v>195</v>
      </c>
      <c r="B90" s="673" t="str">
        <f t="shared" si="0"/>
        <v>Ar priemonė prisideda prie 6 konkretaus BŽŪP tikslo? (tikslas nurodytas 5 lape)</v>
      </c>
      <c r="C90" s="672" t="str">
        <f>'10'!E14</f>
        <v>Ne</v>
      </c>
    </row>
    <row r="91" spans="1:3" ht="28.8" x14ac:dyDescent="0.3">
      <c r="A91" s="2" t="s">
        <v>196</v>
      </c>
      <c r="B91" s="673" t="str">
        <f t="shared" si="0"/>
        <v>Ar priemonė prisideda prie 9 konkretaus BŽŪP tikslo? (tikslas nurodytas 5 lape)</v>
      </c>
      <c r="C91" s="672" t="str">
        <f>'10'!E15</f>
        <v>Ne</v>
      </c>
    </row>
    <row r="92" spans="1:3" x14ac:dyDescent="0.3">
      <c r="A92" s="2" t="s">
        <v>94</v>
      </c>
      <c r="B92" s="675" t="str">
        <f t="shared" si="0"/>
        <v>A dalis. Priemonės intervencijos logika:</v>
      </c>
      <c r="C92" s="676"/>
    </row>
    <row r="93" spans="1:3" ht="158.4" x14ac:dyDescent="0.3">
      <c r="A93" s="2" t="s">
        <v>197</v>
      </c>
      <c r="B93" s="673" t="str">
        <f t="shared" si="0"/>
        <v>Priemonės tikslas, ryšys su pagrindiniu BŽŪP tikslu ir VVG teritorijos poreikiais (problemomis ir (arba) potencialu), ryšys su VPS tema (jei taikoma)</v>
      </c>
      <c r="C93" s="677" t="str">
        <f>'10'!E17</f>
        <v xml:space="preserve">Tikslas - skatinti vietos gyventojų socialinį aktyvumą, sąmoningumą tvarumo ir atliekų rūšiavimo, ypač maisto, srityse, edukuojant visuomenę. Planuojama skatinti mažinti maisto atliekų kiekį ir rinktis sveiką mitybą. Gyventojai dar nepasiruošę maisto atliekų rūšiavimui.   Tvarus maisto vartojimas  sprendžia ir sveikatos problemas. Susietumas su VPS tema, nes įgyvendinant SO9 tikslą, iš dalies prisidedant  ir prie SO4 tikslo, bus ieškoma sumanių sprendimų mažinant maisto atliekų kiekį , skatinti sveiką gyvenseną. Priemone prisidedama prie BŽŪP R.41   rodiklio, patenkinami  1 ir 3 VPS poreikiai.  </v>
      </c>
    </row>
    <row r="94" spans="1:3" ht="72" x14ac:dyDescent="0.3">
      <c r="A94" s="2" t="s">
        <v>198</v>
      </c>
      <c r="B94" s="671" t="str">
        <f t="shared" si="0"/>
        <v>Pokytis, kurio siekiama VPS priemone</v>
      </c>
      <c r="C94" s="677" t="str">
        <f>'10'!E18</f>
        <v>Planuojami 2 projektai, skatinantys vietos gyventojų socialinį aktyvumą, sąmoningumą tvarumo ir atliekų rūšiavimo, ypač maisto, srityse, edukuojant visuomenę. Planuojama skatinti mažinti maisto atliekų kiekį ir rinktis sveiką mitybą. Planuojama įtraukti 200 gyventojų.</v>
      </c>
    </row>
    <row r="95" spans="1:3" ht="28.8" x14ac:dyDescent="0.3">
      <c r="A95" s="2" t="s">
        <v>199</v>
      </c>
      <c r="B95" s="509" t="str">
        <f t="shared" si="0"/>
        <v>Kaip priemonė prisidės prie horizontalaus tikslo d įgyvendinimo? (pildoma, jei taikoma)</v>
      </c>
      <c r="C95" s="677" t="str">
        <f>'10'!E19</f>
        <v xml:space="preserve">Netaikoma. </v>
      </c>
    </row>
    <row r="96" spans="1:3" ht="28.8" x14ac:dyDescent="0.3">
      <c r="A96" s="2" t="s">
        <v>200</v>
      </c>
      <c r="B96" s="509" t="str">
        <f t="shared" si="0"/>
        <v>Kaip priemonė prisidės prie horizontalaus tikslo e įgyvendinimo? (pildoma, jei taikoma)</v>
      </c>
      <c r="C96" s="677" t="str">
        <f>'10'!E20</f>
        <v>Netaikoma.</v>
      </c>
    </row>
    <row r="97" spans="1:3" ht="28.8" x14ac:dyDescent="0.3">
      <c r="A97" s="2" t="s">
        <v>201</v>
      </c>
      <c r="B97" s="509" t="str">
        <f t="shared" si="0"/>
        <v>Kaip priemonė prisidės prie horizontalaus tikslo f įgyvendinimo? (pildoma, jei taikoma)</v>
      </c>
      <c r="C97" s="677" t="str">
        <f>'10'!E21</f>
        <v>Bus privalomi partneriai.</v>
      </c>
    </row>
    <row r="98" spans="1:3" ht="43.2" x14ac:dyDescent="0.3">
      <c r="A98" s="2" t="s">
        <v>202</v>
      </c>
      <c r="B98" s="509" t="str">
        <f t="shared" si="0"/>
        <v>Kaip priemonė prisidės prie horizontalaus tikslo i įgyvendinimo? (pildoma, jei taikoma)</v>
      </c>
      <c r="C98" s="677" t="str">
        <f>'10'!E22</f>
        <v xml:space="preserve">Taikomi reiklavaimai, skatinantys  mažinti maisto atliekų kiekį, jas rūšiuoti,  ir rinktis sveiką mitybą. Reikalavimai bus numatyti vertinimo kriterijuose. </v>
      </c>
    </row>
    <row r="99" spans="1:3" ht="28.8" x14ac:dyDescent="0.3">
      <c r="A99" s="2" t="s">
        <v>203</v>
      </c>
      <c r="B99" s="675" t="str">
        <f t="shared" si="0"/>
        <v>B dalis. Pareiškėjų ir projektų tinkamumo sąlygos, projektų atrankos principai:</v>
      </c>
      <c r="C99" s="676"/>
    </row>
    <row r="100" spans="1:3" ht="43.2" x14ac:dyDescent="0.3">
      <c r="A100" s="2" t="s">
        <v>204</v>
      </c>
      <c r="B100" s="509" t="str">
        <f t="shared" si="0"/>
        <v>Pagal priemonę remiamos veiklos</v>
      </c>
      <c r="C100" s="677" t="str">
        <f>'10'!E24</f>
        <v>Lauko dienos, stovyklos, eko dirbtuvės, kiti renginiai, susiję su tvarios aplinkos kūrimu, aplinkosauginio sąmoningumo diddinimu.</v>
      </c>
    </row>
    <row r="101" spans="1:3" ht="28.8" x14ac:dyDescent="0.3">
      <c r="A101" s="2" t="s">
        <v>205</v>
      </c>
      <c r="B101" s="671" t="str">
        <f t="shared" si="0"/>
        <v>Tinkami pareiškėjai ir partneriai (jei taikomas reikalavimas projektus įgyvendinti su partneriais)</v>
      </c>
      <c r="C101" s="677" t="str">
        <f>'10'!E25</f>
        <v>Juridiniai asmenys – NVO, VšĮ ir kitos asociacijos, kurių veikla atitinka NVO apibrėžtį</v>
      </c>
    </row>
    <row r="102" spans="1:3" ht="28.8" x14ac:dyDescent="0.3">
      <c r="A102" s="2" t="s">
        <v>206</v>
      </c>
      <c r="B102" s="671" t="str">
        <f t="shared" si="0"/>
        <v>Priemonės tikslinė grupė (pildoma, jei nesutampa su tinkamais pareiškėjais ir (arba) partneriais)</v>
      </c>
      <c r="C102" s="677" t="str">
        <f>'10'!E26</f>
        <v>Trakų krašto vietos veiklos grupės NVO, biudžetinių įstaigų atstovai</v>
      </c>
    </row>
    <row r="103" spans="1:3" ht="28.8" x14ac:dyDescent="0.3">
      <c r="A103" s="2" t="s">
        <v>725</v>
      </c>
      <c r="B103" s="509" t="str">
        <f t="shared" si="0"/>
        <v>Tinkamumo sąlygos pareiškėjams ir projektams</v>
      </c>
      <c r="C103" s="677" t="str">
        <f>'10'!E27</f>
        <v xml:space="preserve">Tinkamumo sąlygos pareiškėjams  ir  vietos projektams bus nurodytos Vietos projektų administravimo taisyklėse. </v>
      </c>
    </row>
    <row r="104" spans="1:3" ht="86.4" x14ac:dyDescent="0.3">
      <c r="A104" s="2" t="s">
        <v>726</v>
      </c>
      <c r="B104" s="673" t="str">
        <f t="shared" si="0"/>
        <v>Projektų atrankos principai</v>
      </c>
      <c r="C104" s="677" t="str">
        <f>'10'!E28</f>
        <v>1.Projekto veiklos vyksta ne mažiau kaip trijose  VVG teritorijos seniūnijose. 
2. Projekto partneris (-iai)  įstaiga (-os) ar organizacija (-os), turinti žinių aplinkosaugos srityje.
Detalus atrankos kriterijų sąrašas bus nustatomas priemonės įgyvendinimo taisyklėse</v>
      </c>
    </row>
    <row r="105" spans="1:3" x14ac:dyDescent="0.3">
      <c r="A105" s="2" t="s">
        <v>727</v>
      </c>
      <c r="B105" s="509" t="str">
        <f t="shared" si="0"/>
        <v>Planuojamų kvietimų teikti paraiškas skaičius</v>
      </c>
      <c r="C105" s="670">
        <f>'10'!E29</f>
        <v>2</v>
      </c>
    </row>
    <row r="106" spans="1:3" x14ac:dyDescent="0.3">
      <c r="A106" s="2" t="s">
        <v>728</v>
      </c>
      <c r="B106" s="651" t="str">
        <f t="shared" si="0"/>
        <v>C dalis. Paramos dydžiai:</v>
      </c>
      <c r="C106" s="676"/>
    </row>
    <row r="107" spans="1:3" x14ac:dyDescent="0.3">
      <c r="A107" s="2" t="s">
        <v>729</v>
      </c>
      <c r="B107" s="509" t="str">
        <f t="shared" si="0"/>
        <v>Didžiausia paramos suma vietos projektui, Eur</v>
      </c>
      <c r="C107" s="677">
        <f>'10'!E31</f>
        <v>11967</v>
      </c>
    </row>
    <row r="108" spans="1:3" x14ac:dyDescent="0.3">
      <c r="A108" s="2" t="s">
        <v>730</v>
      </c>
      <c r="B108" s="509" t="str">
        <f t="shared" si="0"/>
        <v xml:space="preserve">Paramos lyginamoji dalis, proc. </v>
      </c>
      <c r="C108" s="677" t="str">
        <f>'10'!E32</f>
        <v>iki 90</v>
      </c>
    </row>
    <row r="109" spans="1:3" x14ac:dyDescent="0.3">
      <c r="A109" s="2" t="s">
        <v>731</v>
      </c>
      <c r="B109" s="509" t="str">
        <f t="shared" si="0"/>
        <v>Planuojama paramos suma priemonei, Eur</v>
      </c>
      <c r="C109" s="678">
        <f>'10'!E33</f>
        <v>23934</v>
      </c>
    </row>
    <row r="110" spans="1:3" x14ac:dyDescent="0.3">
      <c r="A110" s="2" t="s">
        <v>732</v>
      </c>
      <c r="B110" s="509" t="str">
        <f t="shared" si="0"/>
        <v>Planuojama paremti projektų (rodiklis L700)</v>
      </c>
      <c r="C110" s="679">
        <f>'10'!E34</f>
        <v>2</v>
      </c>
    </row>
    <row r="111" spans="1:3" ht="57.6" x14ac:dyDescent="0.3">
      <c r="A111" s="2" t="s">
        <v>733</v>
      </c>
      <c r="B111" s="509" t="str">
        <f t="shared" si="0"/>
        <v>Paaiškinimas, kaip nustatyta rodiklio L700 reikšmė</v>
      </c>
      <c r="C111" s="677" t="str">
        <f>'10'!E35</f>
        <v xml:space="preserve">Pagal priemonę planuojamų paremti projektų skaičius apskaičiuotas atsižvelgiant į poreikius, suma projektui paskaičiuota atsižvelgiant į įgyvendinamos VPS patirtį, įgyvendinant tik veiklos projektus. </v>
      </c>
    </row>
    <row r="112" spans="1:3" ht="28.8" x14ac:dyDescent="0.3">
      <c r="A112" s="2" t="s">
        <v>734</v>
      </c>
      <c r="B112" s="651" t="str">
        <f t="shared" si="0"/>
        <v>D dalis. Priemonės indėlis į ES ir nacionalinių horizontaliųjų principų įgyvendinimą:</v>
      </c>
      <c r="C112" s="676"/>
    </row>
    <row r="113" spans="1:3" x14ac:dyDescent="0.3">
      <c r="A113" s="2" t="s">
        <v>735</v>
      </c>
      <c r="B113" s="680" t="str">
        <f t="shared" si="0"/>
        <v>Subregioninės vietovės principas:</v>
      </c>
      <c r="C113" s="676"/>
    </row>
    <row r="114" spans="1:3" ht="28.8" x14ac:dyDescent="0.3">
      <c r="A114" s="2" t="s">
        <v>736</v>
      </c>
      <c r="B114" s="509" t="str">
        <f t="shared" si="0"/>
        <v>Ar siekiama, kad pagal priemonę finansuojami projektai apimtų visas VVG teritorijos seniūnijas?</v>
      </c>
      <c r="C114" s="672" t="str">
        <f>'10'!E38</f>
        <v>Ne</v>
      </c>
    </row>
    <row r="115" spans="1:3" ht="57.6" x14ac:dyDescent="0.3">
      <c r="A115" s="2" t="s">
        <v>737</v>
      </c>
      <c r="B115" s="509" t="str">
        <f t="shared" si="0"/>
        <v>Pasirinkimo pagrindimas</v>
      </c>
      <c r="C115" s="677" t="str">
        <f>'10'!E39</f>
        <v xml:space="preserve">Atsižvelgiant į suplanuotą priemonei lėšų sumą ir planuojamą finansuoti projektų skaičių veiklos neapims visų seniūnijų, tačiau sudarytos sąlygos teikti paraiškas bet kurios seniūnijos pareiškėjams. </v>
      </c>
    </row>
    <row r="116" spans="1:3" x14ac:dyDescent="0.3">
      <c r="A116" s="2" t="s">
        <v>738</v>
      </c>
      <c r="B116" s="680" t="str">
        <f t="shared" si="0"/>
        <v>Partnerystės principas:</v>
      </c>
      <c r="C116" s="676"/>
    </row>
    <row r="117" spans="1:3" ht="28.8" x14ac:dyDescent="0.3">
      <c r="A117" s="2" t="s">
        <v>739</v>
      </c>
      <c r="B117" s="509" t="str">
        <f t="shared" si="0"/>
        <v>Ar siekiama, kad pagal priemonę finansuojami projektai būtų vykdomi su partneriais?</v>
      </c>
      <c r="C117" s="672" t="str">
        <f>'10'!E41</f>
        <v>Taip, privalomai</v>
      </c>
    </row>
    <row r="118" spans="1:3" x14ac:dyDescent="0.3">
      <c r="A118" s="2" t="s">
        <v>740</v>
      </c>
      <c r="B118" s="509" t="str">
        <f t="shared" si="0"/>
        <v>Pasirinkimo pagrindimas</v>
      </c>
      <c r="C118" s="677" t="str">
        <f>'10'!E42</f>
        <v>Reikalavimas bus taikomas kaip tinkamumo sąlyga.</v>
      </c>
    </row>
    <row r="119" spans="1:3" x14ac:dyDescent="0.3">
      <c r="A119" s="2" t="s">
        <v>741</v>
      </c>
      <c r="B119" s="680" t="str">
        <f t="shared" si="0"/>
        <v>Inovacijų principas:</v>
      </c>
      <c r="C119" s="676"/>
    </row>
    <row r="120" spans="1:3" ht="28.8" x14ac:dyDescent="0.3">
      <c r="A120" s="2" t="s">
        <v>742</v>
      </c>
      <c r="B120" s="509" t="str">
        <f t="shared" si="0"/>
        <v>Ar siekiama, kad pagal priemonę finansuojami projektai būtų skirti inovacijoms vietos lygiu diegti?</v>
      </c>
      <c r="C120" s="672" t="str">
        <f>'10'!E44</f>
        <v>Taip, privalomai</v>
      </c>
    </row>
    <row r="121" spans="1:3" x14ac:dyDescent="0.3">
      <c r="A121" s="2" t="s">
        <v>743</v>
      </c>
      <c r="B121" s="509" t="str">
        <f t="shared" si="0"/>
        <v>Pasirinkimo pagrindimas</v>
      </c>
      <c r="C121" s="677" t="str">
        <f>'10'!E45</f>
        <v>Reikalavimas bus taikomas kaip tinkamumo sąlyga.</v>
      </c>
    </row>
    <row r="122" spans="1:3" ht="28.8" x14ac:dyDescent="0.3">
      <c r="A122" s="2" t="s">
        <v>744</v>
      </c>
      <c r="B122" s="509" t="str">
        <f t="shared" si="0"/>
        <v>Planuojama paremti projektų, skirtų inovacijoms vietos lygiu diegti (rodiklis L710)</v>
      </c>
      <c r="C122" s="679">
        <f>'10'!E46</f>
        <v>2</v>
      </c>
    </row>
    <row r="123" spans="1:3" x14ac:dyDescent="0.3">
      <c r="A123" s="2" t="s">
        <v>745</v>
      </c>
      <c r="B123" s="680" t="str">
        <f t="shared" si="0"/>
        <v>Lyčių lygybė ir nediskriminavimas:</v>
      </c>
      <c r="C123" s="676"/>
    </row>
    <row r="124" spans="1:3" ht="28.8" x14ac:dyDescent="0.3">
      <c r="A124" s="2" t="s">
        <v>746</v>
      </c>
      <c r="B124" s="509" t="str">
        <f t="shared" si="0"/>
        <v>Ar pagal priemonę finansuojami projektai, skirti lyčių lygybei ir nediskriminavimui?</v>
      </c>
      <c r="C124" s="672" t="str">
        <f>'10'!E48</f>
        <v>Taip</v>
      </c>
    </row>
    <row r="125" spans="1:3" ht="72" x14ac:dyDescent="0.3">
      <c r="A125" s="2" t="s">
        <v>747</v>
      </c>
      <c r="B125" s="509" t="str">
        <f t="shared" si="0"/>
        <v>Pasirinkimo pagrindimas (jei taip, kaip bus užtikrinta)</v>
      </c>
      <c r="C125" s="677" t="str">
        <f>'10'!E49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126" spans="1:3" x14ac:dyDescent="0.3">
      <c r="A126" s="2" t="s">
        <v>748</v>
      </c>
      <c r="B126" s="680" t="str">
        <f t="shared" si="0"/>
        <v>Jaunimas:</v>
      </c>
      <c r="C126" s="676"/>
    </row>
    <row r="127" spans="1:3" x14ac:dyDescent="0.3">
      <c r="A127" s="2" t="s">
        <v>749</v>
      </c>
      <c r="B127" s="509" t="str">
        <f t="shared" si="0"/>
        <v>Ar pagal priemonę finansuojami projektai, skirti jaunimui?</v>
      </c>
      <c r="C127" s="672" t="str">
        <f>'10'!E51</f>
        <v>Ne</v>
      </c>
    </row>
    <row r="128" spans="1:3" ht="43.2" x14ac:dyDescent="0.3">
      <c r="A128" s="2" t="s">
        <v>750</v>
      </c>
      <c r="B128" s="509" t="str">
        <f t="shared" si="0"/>
        <v>Pasirinkimo pagrindimas (jei taip, kaip bus užtikrinta)</v>
      </c>
      <c r="C128" s="677" t="str">
        <f>'10'!E52</f>
        <v>Dalyvauti projektinėse veiklose ir juos teikti bus sudarytos vienodos sąlygos visiems, netaikant pozityvios diskriminacijos pagal amžių.</v>
      </c>
    </row>
    <row r="129" spans="1:3" x14ac:dyDescent="0.3">
      <c r="A129" s="2" t="s">
        <v>751</v>
      </c>
      <c r="B129" s="675" t="str">
        <f t="shared" si="0"/>
        <v>E dalis. Priemonės rezultato rodikliai:</v>
      </c>
      <c r="C129" s="676"/>
    </row>
    <row r="130" spans="1:3" x14ac:dyDescent="0.3">
      <c r="A130" s="2" t="s">
        <v>752</v>
      </c>
      <c r="B130" s="680" t="str">
        <f t="shared" si="0"/>
        <v>SP rezultato rodiklių taikymas priemonei:</v>
      </c>
      <c r="C130" s="676"/>
    </row>
    <row r="131" spans="1:3" x14ac:dyDescent="0.3">
      <c r="A131" s="2" t="s">
        <v>753</v>
      </c>
      <c r="B131" s="681" t="str">
        <f t="shared" si="0"/>
        <v>R.3</v>
      </c>
      <c r="C131" s="682" t="str">
        <f>'10'!E55</f>
        <v>Ne</v>
      </c>
    </row>
    <row r="132" spans="1:3" x14ac:dyDescent="0.3">
      <c r="A132" s="2" t="s">
        <v>754</v>
      </c>
      <c r="B132" s="681" t="str">
        <f t="shared" si="0"/>
        <v>R.37</v>
      </c>
      <c r="C132" s="682" t="str">
        <f>'10'!E56</f>
        <v>Ne</v>
      </c>
    </row>
    <row r="133" spans="1:3" x14ac:dyDescent="0.3">
      <c r="A133" s="2" t="s">
        <v>755</v>
      </c>
      <c r="B133" s="681" t="str">
        <f t="shared" si="0"/>
        <v>R.39</v>
      </c>
      <c r="C133" s="682" t="str">
        <f>'10'!E57</f>
        <v>Ne</v>
      </c>
    </row>
    <row r="134" spans="1:3" x14ac:dyDescent="0.3">
      <c r="A134" s="2" t="s">
        <v>756</v>
      </c>
      <c r="B134" s="681" t="str">
        <f t="shared" si="0"/>
        <v>R.41</v>
      </c>
      <c r="C134" s="682" t="str">
        <f>'10'!E58</f>
        <v>Taip</v>
      </c>
    </row>
    <row r="135" spans="1:3" x14ac:dyDescent="0.3">
      <c r="A135" s="2" t="s">
        <v>757</v>
      </c>
      <c r="B135" s="681" t="str">
        <f t="shared" si="0"/>
        <v>R.42</v>
      </c>
      <c r="C135" s="682" t="str">
        <f>'10'!E59</f>
        <v>Ne</v>
      </c>
    </row>
    <row r="136" spans="1:3" x14ac:dyDescent="0.3">
      <c r="A136" s="2" t="s">
        <v>758</v>
      </c>
      <c r="B136" s="680" t="str">
        <f t="shared" si="0"/>
        <v>VPS rodiklių taikymas priemonei:</v>
      </c>
      <c r="C136" s="676"/>
    </row>
    <row r="137" spans="1:3" x14ac:dyDescent="0.3">
      <c r="A137" s="2" t="s">
        <v>759</v>
      </c>
      <c r="B137" s="681" t="str">
        <f t="shared" si="0"/>
        <v>TRAK-P.1</v>
      </c>
      <c r="C137" s="682" t="str">
        <f>'10'!E61</f>
        <v>Ne</v>
      </c>
    </row>
    <row r="138" spans="1:3" x14ac:dyDescent="0.3">
      <c r="A138" s="2" t="s">
        <v>760</v>
      </c>
      <c r="B138" s="681" t="str">
        <f t="shared" si="0"/>
        <v>TRAK-P.2</v>
      </c>
      <c r="C138" s="682" t="str">
        <f>'10'!E62</f>
        <v>Ne</v>
      </c>
    </row>
    <row r="139" spans="1:3" x14ac:dyDescent="0.3">
      <c r="A139" s="2" t="s">
        <v>761</v>
      </c>
      <c r="B139" s="681" t="str">
        <f t="shared" si="0"/>
        <v>TRAK-P.3</v>
      </c>
      <c r="C139" s="682" t="str">
        <f>'10'!E63</f>
        <v>Ne</v>
      </c>
    </row>
    <row r="140" spans="1:3" x14ac:dyDescent="0.3">
      <c r="A140" s="2" t="s">
        <v>762</v>
      </c>
      <c r="B140" s="681" t="str">
        <f t="shared" si="0"/>
        <v>TRAK-P.4</v>
      </c>
      <c r="C140" s="682" t="str">
        <f>'10'!E64</f>
        <v>Ne</v>
      </c>
    </row>
    <row r="141" spans="1:3" x14ac:dyDescent="0.3">
      <c r="A141" s="2" t="s">
        <v>763</v>
      </c>
      <c r="B141" s="681" t="str">
        <f t="shared" si="0"/>
        <v>TRAK-P.5</v>
      </c>
      <c r="C141" s="682" t="str">
        <f>'10'!E65</f>
        <v>Ne</v>
      </c>
    </row>
    <row r="142" spans="1:3" x14ac:dyDescent="0.3">
      <c r="A142" s="2" t="s">
        <v>764</v>
      </c>
      <c r="B142" s="681" t="str">
        <f t="shared" si="0"/>
        <v>TRAK-P.6</v>
      </c>
      <c r="C142" s="682" t="str">
        <f>'10'!E66</f>
        <v>Ne</v>
      </c>
    </row>
    <row r="143" spans="1:3" x14ac:dyDescent="0.3">
      <c r="A143" s="2" t="s">
        <v>765</v>
      </c>
      <c r="B143" s="681" t="str">
        <f t="shared" si="0"/>
        <v>TRAK-P.7</v>
      </c>
      <c r="C143" s="682" t="str">
        <f>'10'!E67</f>
        <v>Ne</v>
      </c>
    </row>
    <row r="144" spans="1:3" x14ac:dyDescent="0.3">
      <c r="A144" s="2" t="s">
        <v>766</v>
      </c>
      <c r="B144" s="681" t="str">
        <f t="shared" si="0"/>
        <v>TRAK-P.8</v>
      </c>
      <c r="C144" s="682" t="str">
        <f>'10'!E68</f>
        <v>Ne</v>
      </c>
    </row>
    <row r="145" spans="1:3" x14ac:dyDescent="0.3">
      <c r="A145" s="2" t="s">
        <v>767</v>
      </c>
      <c r="B145" s="681" t="str">
        <f t="shared" si="0"/>
        <v>TRAK-P.9</v>
      </c>
      <c r="C145" s="682" t="str">
        <f>'10'!E69</f>
        <v>Ne</v>
      </c>
    </row>
    <row r="146" spans="1:3" x14ac:dyDescent="0.3">
      <c r="A146" s="2" t="s">
        <v>768</v>
      </c>
      <c r="B146" s="683" t="str">
        <f t="shared" si="0"/>
        <v>TRAK-P.10</v>
      </c>
      <c r="C146" s="684" t="str">
        <f>'10'!E70</f>
        <v>Ne</v>
      </c>
    </row>
    <row r="147" spans="1:3" x14ac:dyDescent="0.3">
      <c r="A147" s="2" t="s">
        <v>769</v>
      </c>
      <c r="B147" s="675" t="str">
        <f t="shared" si="0"/>
        <v>F dalis. Pagal priemonę remiamų projektų pobūdis:</v>
      </c>
      <c r="C147" s="676"/>
    </row>
    <row r="148" spans="1:3" x14ac:dyDescent="0.3">
      <c r="A148" s="2" t="s">
        <v>770</v>
      </c>
      <c r="B148" s="671" t="str">
        <f t="shared" ref="B148:B157" si="1">B71</f>
        <v>Remiami pelno projektai</v>
      </c>
      <c r="C148" s="672" t="str">
        <f>'10'!E72</f>
        <v>Ne</v>
      </c>
    </row>
    <row r="149" spans="1:3" ht="57.6" x14ac:dyDescent="0.3">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57.6" x14ac:dyDescent="0.3">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Ne</v>
      </c>
    </row>
    <row r="151" spans="1:3" ht="43.2" x14ac:dyDescent="0.3">
      <c r="A151" s="2" t="s">
        <v>773</v>
      </c>
      <c r="B151" s="673" t="str">
        <f t="shared" si="1"/>
        <v>Remiami projektai, susiję su atsinaujinančios energijos gamybos pajėgumais, įskaitant biologinę (aktualu rodikliui L803)</v>
      </c>
      <c r="C151" s="672" t="str">
        <f>'10'!E75</f>
        <v>Ne</v>
      </c>
    </row>
    <row r="152" spans="1:3" ht="43.2" x14ac:dyDescent="0.3">
      <c r="A152" s="2" t="s">
        <v>774</v>
      </c>
      <c r="B152" s="673" t="str">
        <f t="shared" si="1"/>
        <v>Remiami projektai, prisidedantys prie aplinkos tvarumo, klimato kaitos švelninimo bei prisitaikymo prie jos tikslų įgyvendinimo kaimo vietovėse (aktualu rodikliui L804)</v>
      </c>
      <c r="C152" s="672" t="str">
        <f>'10'!E76</f>
        <v>Taip</v>
      </c>
    </row>
    <row r="153" spans="1:3" ht="28.8" x14ac:dyDescent="0.3">
      <c r="A153" s="2" t="s">
        <v>775</v>
      </c>
      <c r="B153" s="673" t="str">
        <f t="shared" si="1"/>
        <v>Remiami projektai, kurie kuria darbo vietas (aktualu rodikliui L805)</v>
      </c>
      <c r="C153" s="672" t="str">
        <f>'10'!E77</f>
        <v>Ne</v>
      </c>
    </row>
    <row r="154" spans="1:3" ht="28.8" x14ac:dyDescent="0.3">
      <c r="A154" s="2" t="s">
        <v>776</v>
      </c>
      <c r="B154" s="673" t="str">
        <f t="shared" si="1"/>
        <v>Remiami kaimo verslų, įskaitant bioekonomiką, projektai (aktualu rodikliui L 806)</v>
      </c>
      <c r="C154" s="672" t="str">
        <f>'10'!E78</f>
        <v>Ne</v>
      </c>
    </row>
    <row r="155" spans="1:3" ht="28.8" x14ac:dyDescent="0.3">
      <c r="A155" s="2" t="s">
        <v>777</v>
      </c>
      <c r="B155" s="673" t="str">
        <f t="shared" si="1"/>
        <v>Remiami projektai, susiję su sumanių kaimų strategijomis (aktualu rodikliui L807)</v>
      </c>
      <c r="C155" s="672" t="str">
        <f>'10'!E79</f>
        <v>Ne</v>
      </c>
    </row>
    <row r="156" spans="1:3" ht="28.8" x14ac:dyDescent="0.3">
      <c r="A156" s="2" t="s">
        <v>778</v>
      </c>
      <c r="B156" s="673" t="str">
        <f t="shared" si="1"/>
        <v>Remiami projektai, gerinantys paslaugų prieinamumą ir infrastruktūrą (aktualu rodikliui L808)</v>
      </c>
      <c r="C156" s="672" t="str">
        <f>'10'!E80</f>
        <v>Ne</v>
      </c>
    </row>
    <row r="157" spans="1:3" ht="28.8" x14ac:dyDescent="0.3">
      <c r="A157" s="2" t="s">
        <v>779</v>
      </c>
      <c r="B157" s="673" t="str">
        <f t="shared" si="1"/>
        <v>Remiami socialinės įtraukties projektai (aktualu rodikliui L809)</v>
      </c>
      <c r="C157" s="672" t="str">
        <f>'10'!E81</f>
        <v>Ne</v>
      </c>
    </row>
    <row r="158" spans="1:3" x14ac:dyDescent="0.3">
      <c r="A158" s="2"/>
      <c r="B158" s="649"/>
      <c r="C158" s="685"/>
    </row>
    <row r="159" spans="1:3" x14ac:dyDescent="0.3">
      <c r="A159" s="1"/>
      <c r="B159" s="362"/>
      <c r="C159" s="686" t="str">
        <f>'10'!F6</f>
        <v>3 priemonė</v>
      </c>
    </row>
    <row r="160" spans="1:3" ht="28.8" x14ac:dyDescent="0.3">
      <c r="A160" s="2" t="s">
        <v>188</v>
      </c>
      <c r="B160" s="509" t="str">
        <f>B83</f>
        <v>Priemonės pavadinimas</v>
      </c>
      <c r="C160" s="670" t="str">
        <f>'10'!F7</f>
        <v>Jaunimo ir su jaunimu dirbančių organizacijų stiprinimas, jaunimo užimtumo įvairinimas</v>
      </c>
    </row>
    <row r="161" spans="1:3" x14ac:dyDescent="0.3">
      <c r="A161" s="2" t="s">
        <v>189</v>
      </c>
      <c r="B161" s="671" t="str">
        <f t="shared" ref="B161:B224" si="2">B84</f>
        <v>Priemonės rūšis</v>
      </c>
      <c r="C161" s="670" t="str">
        <f>'10'!F8</f>
        <v>Veiklos projektai</v>
      </c>
    </row>
    <row r="162" spans="1:3" x14ac:dyDescent="0.3">
      <c r="A162" s="2" t="s">
        <v>190</v>
      </c>
      <c r="B162" s="671" t="str">
        <f t="shared" si="2"/>
        <v>VVG teritorijos poreikių, kuriuos tenkina priemonė, skaičius</v>
      </c>
      <c r="C162" s="670">
        <f>'10'!F9</f>
        <v>3</v>
      </c>
    </row>
    <row r="163" spans="1:3" x14ac:dyDescent="0.3">
      <c r="A163" s="2" t="s">
        <v>191</v>
      </c>
      <c r="B163" s="671" t="str">
        <f t="shared" si="2"/>
        <v>BŽŪP tikslų, kuriuos įgyvendina priemonė, skaičius</v>
      </c>
      <c r="C163" s="670">
        <f>'10'!F10</f>
        <v>2</v>
      </c>
    </row>
    <row r="164" spans="1:3" ht="57.6" x14ac:dyDescent="0.3">
      <c r="A164" s="2" t="s">
        <v>192</v>
      </c>
      <c r="B164" s="671" t="str">
        <f t="shared" si="2"/>
        <v>Pagrindinis BŽŪP tikslas, kurį įgyvendina VPS priemonė</v>
      </c>
      <c r="C164" s="672" t="str">
        <f>'10'!F11</f>
        <v>SO8. Skatinti užimtumą, augimą, lyčių lygybę, įskaitant moterų dalyvavimą ūkininkavimo veikloje, socialinę įtrauktį ir vietos plėtrą kaimo vietovėse, įskaitant žiedinę bioekonomiką ir tvarią miškininkystę</v>
      </c>
    </row>
    <row r="165" spans="1:3" ht="28.8" x14ac:dyDescent="0.3">
      <c r="A165" s="2" t="s">
        <v>193</v>
      </c>
      <c r="B165" s="673" t="str">
        <f t="shared" si="2"/>
        <v>Ar priemonė prisideda prie 4 konkretaus BŽŪP tikslo? (tikslas nurodytas 5 lape)</v>
      </c>
      <c r="C165" s="672" t="str">
        <f>'10'!F12</f>
        <v>Ne</v>
      </c>
    </row>
    <row r="166" spans="1:3" ht="28.8" x14ac:dyDescent="0.3">
      <c r="A166" s="2" t="s">
        <v>194</v>
      </c>
      <c r="B166" s="673" t="str">
        <f t="shared" si="2"/>
        <v>Ar priemonė prisideda prie 5 konkretaus BŽŪP tikslo? (tikslas nurodytas 5 lape)</v>
      </c>
      <c r="C166" s="672" t="str">
        <f>'10'!F13</f>
        <v>Ne</v>
      </c>
    </row>
    <row r="167" spans="1:3" ht="28.8" x14ac:dyDescent="0.3">
      <c r="A167" s="2" t="s">
        <v>195</v>
      </c>
      <c r="B167" s="673" t="str">
        <f t="shared" si="2"/>
        <v>Ar priemonė prisideda prie 6 konkretaus BŽŪP tikslo? (tikslas nurodytas 5 lape)</v>
      </c>
      <c r="C167" s="672" t="str">
        <f>'10'!F14</f>
        <v>Ne</v>
      </c>
    </row>
    <row r="168" spans="1:3" ht="28.8" x14ac:dyDescent="0.3">
      <c r="A168" s="2" t="s">
        <v>196</v>
      </c>
      <c r="B168" s="673" t="str">
        <f t="shared" si="2"/>
        <v>Ar priemonė prisideda prie 9 konkretaus BŽŪP tikslo? (tikslas nurodytas 5 lape)</v>
      </c>
      <c r="C168" s="672" t="str">
        <f>'10'!F15</f>
        <v>Ne</v>
      </c>
    </row>
    <row r="169" spans="1:3" x14ac:dyDescent="0.3">
      <c r="A169" s="2" t="s">
        <v>94</v>
      </c>
      <c r="B169" s="675" t="str">
        <f t="shared" si="2"/>
        <v>A dalis. Priemonės intervencijos logika:</v>
      </c>
      <c r="C169" s="676"/>
    </row>
    <row r="170" spans="1:3" ht="129.6" x14ac:dyDescent="0.3">
      <c r="A170" s="2" t="s">
        <v>197</v>
      </c>
      <c r="B170" s="673" t="str">
        <f t="shared" si="2"/>
        <v>Priemonės tikslas, ryšys su pagrindiniu BŽŪP tikslu ir VVG teritorijos poreikiais (problemomis ir (arba) potencialu), ryšys su VPS tema (jei taikoma)</v>
      </c>
      <c r="C170" s="677" t="str">
        <f>'10'!F17</f>
        <v xml:space="preserve">Tikslas - aktyvinti, skatinti jaunimą dalyvauti kaimo vietovių sumanumui didinti skirtose veiklose. Siejama su 8 konkretaus tikslo siekiais:  vietos plėtra, socialinė įtrauktis. P. įgyvendinimas prisidės prie BŽŪP R.41  R.42 rodiklių. Jaunimo ir su jaunimu dirbančios NVO bus įgalintos prisidėti prie gyventojų užimtumo didinimo, inicijuoti gyvenimo būdo pokyčius, susijusius su ES Žaliojo kurso įgyvendinimu. Priemonė tiesiogiai siejasi su VPS tema, nes bus tenkinami gyventojų poreikiai, panaudojant sumanias idėjas. </v>
      </c>
    </row>
    <row r="171" spans="1:3" ht="86.4" x14ac:dyDescent="0.3">
      <c r="A171" s="2" t="s">
        <v>198</v>
      </c>
      <c r="B171" s="671" t="str">
        <f t="shared" si="2"/>
        <v>Pokytis, kurio siekiama VPS priemone</v>
      </c>
      <c r="C171" s="677" t="str">
        <f>'10'!F18</f>
        <v xml:space="preserve">Įgyvendinus priemonę suaktyvės jaunimo,  kitų organizacijų, dirbančių su jaunimu, veikla, daugiau jaunų žmonių dalyvaus formalių organizacijų veikloje, sumanūs sprendimai bus priimamai atsižvelgiant ir į jaunimo  nuomonę, bus paskatinta savanorystė, įgyta verslumo įgūdžių,  pagerės projektuose dalyvavusių NVO teikiamų paslaugų kokybė. </v>
      </c>
    </row>
    <row r="172" spans="1:3" ht="28.8" x14ac:dyDescent="0.3">
      <c r="A172" s="2" t="s">
        <v>199</v>
      </c>
      <c r="B172" s="509" t="str">
        <f t="shared" si="2"/>
        <v>Kaip priemonė prisidės prie horizontalaus tikslo d įgyvendinimo? (pildoma, jei taikoma)</v>
      </c>
      <c r="C172" s="677" t="str">
        <f>'10'!F19</f>
        <v xml:space="preserve">Bus numatyti atrankos kriterijai. </v>
      </c>
    </row>
    <row r="173" spans="1:3" ht="28.8" x14ac:dyDescent="0.3">
      <c r="A173" s="2" t="s">
        <v>200</v>
      </c>
      <c r="B173" s="509" t="str">
        <f t="shared" si="2"/>
        <v>Kaip priemonė prisidės prie horizontalaus tikslo e įgyvendinimo? (pildoma, jei taikoma)</v>
      </c>
      <c r="C173" s="677" t="str">
        <f>'10'!F20</f>
        <v xml:space="preserve">Netaikoma </v>
      </c>
    </row>
    <row r="174" spans="1:3" ht="28.8" x14ac:dyDescent="0.3">
      <c r="A174" s="2" t="s">
        <v>201</v>
      </c>
      <c r="B174" s="509" t="str">
        <f t="shared" si="2"/>
        <v>Kaip priemonė prisidės prie horizontalaus tikslo f įgyvendinimo? (pildoma, jei taikoma)</v>
      </c>
      <c r="C174" s="677" t="str">
        <f>'10'!F21</f>
        <v>Netaikoma.</v>
      </c>
    </row>
    <row r="175" spans="1:3" ht="100.8" x14ac:dyDescent="0.3">
      <c r="A175" s="2" t="s">
        <v>202</v>
      </c>
      <c r="B175" s="509" t="str">
        <f t="shared" si="2"/>
        <v>Kaip priemonė prisidės prie horizontalaus tikslo i įgyvendinimo? (pildoma, jei taikoma)</v>
      </c>
      <c r="C175" s="677" t="str">
        <f>'10'!F22</f>
        <v>Taikomi reikalavimai (bent 1 iš alternatyvų): 
1) projekto veiklos prisideda prie gyventojų ekologinio, aplinkosauginio sąmoningumo ugdymo (stovyklos, neformalus ugdymas, terapija ir pan.);
2) į VP įgyvendinimą įtrauktos veiklos, susijusios su aplinkosauginiu švietimu ir jo svarba, tvarumu, ekologinių sprendimų įgyvendinimu, fizinio aktyvumo skatinimu.</v>
      </c>
    </row>
    <row r="176" spans="1:3" ht="28.8" x14ac:dyDescent="0.3">
      <c r="A176" s="2" t="s">
        <v>203</v>
      </c>
      <c r="B176" s="675" t="str">
        <f t="shared" si="2"/>
        <v>B dalis. Pareiškėjų ir projektų tinkamumo sąlygos, projektų atrankos principai:</v>
      </c>
      <c r="C176" s="676"/>
    </row>
    <row r="177" spans="1:3" ht="28.8" x14ac:dyDescent="0.3">
      <c r="A177" s="2" t="s">
        <v>204</v>
      </c>
      <c r="B177" s="509" t="str">
        <f t="shared" si="2"/>
        <v>Pagal priemonę remiamos veiklos</v>
      </c>
      <c r="C177" s="677" t="str">
        <f>'10'!F24</f>
        <v>Stovyklos, akcijos,  apvalauis stalo diskusijos, edukacijos, žygiai, kiti  renginiai, susiję su jaunimo aktyvinimu.</v>
      </c>
    </row>
    <row r="178" spans="1:3" ht="28.8" x14ac:dyDescent="0.3">
      <c r="A178" s="2" t="s">
        <v>205</v>
      </c>
      <c r="B178" s="671" t="str">
        <f t="shared" si="2"/>
        <v>Tinkami pareiškėjai ir partneriai (jei taikomas reikalavimas projektus įgyvendinti su partneriais)</v>
      </c>
      <c r="C178" s="677" t="str">
        <f>'10'!F25</f>
        <v>Juridiniai asmenys – NVO, VšĮ ir kitos asociacijos, kurių veikla atitinka NVO apibrėžtį</v>
      </c>
    </row>
    <row r="179" spans="1:3" ht="28.8" x14ac:dyDescent="0.3">
      <c r="A179" s="2" t="s">
        <v>206</v>
      </c>
      <c r="B179" s="671" t="str">
        <f t="shared" si="2"/>
        <v>Priemonės tikslinė grupė (pildoma, jei nesutampa su tinkamais pareiškėjais ir (arba) partneriais)</v>
      </c>
      <c r="C179" s="677" t="str">
        <f>'10'!F26</f>
        <v>Trakų krašto vietos veiklos grupės NVO atstovai, jaunimas.</v>
      </c>
    </row>
    <row r="180" spans="1:3" ht="28.8" x14ac:dyDescent="0.3">
      <c r="A180" s="2" t="s">
        <v>725</v>
      </c>
      <c r="B180" s="509" t="str">
        <f t="shared" si="2"/>
        <v>Tinkamumo sąlygos pareiškėjams ir projektams</v>
      </c>
      <c r="C180" s="677" t="str">
        <f>'10'!F27</f>
        <v>Tinkamumo sąlygos pareiškėjams  ir  vietos projektams bus nurodytos Vietos projektų administravimo taisyklėse. .</v>
      </c>
    </row>
    <row r="181" spans="1:3" ht="86.4" x14ac:dyDescent="0.3">
      <c r="A181" s="2" t="s">
        <v>726</v>
      </c>
      <c r="B181" s="673" t="str">
        <f t="shared" si="2"/>
        <v>Projektų atrankos principai</v>
      </c>
      <c r="C181" s="677" t="str">
        <f>'10'!F28</f>
        <v>1.	Projektą teikia jaunimo organizacija ar projekto parneriu yra jaunimo organizacija. 
2.	Projekto partneris (-iai) jaunimo organizacija ar organizacija dirbanti su jaunimu. 
Detalus atrankos kriterijų sąrašas bus nustatomas priemonės įgyvendinimo taisyklėse</v>
      </c>
    </row>
    <row r="182" spans="1:3" x14ac:dyDescent="0.3">
      <c r="A182" s="2" t="s">
        <v>727</v>
      </c>
      <c r="B182" s="509" t="str">
        <f t="shared" si="2"/>
        <v>Planuojamų kvietimų teikti paraiškas skaičius</v>
      </c>
      <c r="C182" s="670">
        <f>'10'!F29</f>
        <v>5</v>
      </c>
    </row>
    <row r="183" spans="1:3" x14ac:dyDescent="0.3">
      <c r="A183" s="2" t="s">
        <v>728</v>
      </c>
      <c r="B183" s="651" t="str">
        <f t="shared" si="2"/>
        <v>C dalis. Paramos dydžiai:</v>
      </c>
      <c r="C183" s="676"/>
    </row>
    <row r="184" spans="1:3" x14ac:dyDescent="0.3">
      <c r="A184" s="2" t="s">
        <v>729</v>
      </c>
      <c r="B184" s="509" t="str">
        <f t="shared" si="2"/>
        <v>Didžiausia paramos suma vietos projektui, Eur</v>
      </c>
      <c r="C184" s="677">
        <f>'10'!F31</f>
        <v>10000</v>
      </c>
    </row>
    <row r="185" spans="1:3" x14ac:dyDescent="0.3">
      <c r="A185" s="2" t="s">
        <v>730</v>
      </c>
      <c r="B185" s="509" t="str">
        <f t="shared" si="2"/>
        <v xml:space="preserve">Paramos lyginamoji dalis, proc. </v>
      </c>
      <c r="C185" s="677" t="str">
        <f>'10'!F32</f>
        <v>iki 90</v>
      </c>
    </row>
    <row r="186" spans="1:3" x14ac:dyDescent="0.3">
      <c r="A186" s="2" t="s">
        <v>731</v>
      </c>
      <c r="B186" s="509" t="str">
        <f t="shared" si="2"/>
        <v>Planuojama paramos suma priemonei, Eur</v>
      </c>
      <c r="C186" s="678">
        <f>'10'!F33</f>
        <v>80000</v>
      </c>
    </row>
    <row r="187" spans="1:3" x14ac:dyDescent="0.3">
      <c r="A187" s="2" t="s">
        <v>732</v>
      </c>
      <c r="B187" s="509" t="str">
        <f t="shared" si="2"/>
        <v>Planuojama paremti projektų (rodiklis L700)</v>
      </c>
      <c r="C187" s="679">
        <f>'10'!F34</f>
        <v>8</v>
      </c>
    </row>
    <row r="188" spans="1:3" x14ac:dyDescent="0.3">
      <c r="A188" s="2" t="s">
        <v>733</v>
      </c>
      <c r="B188" s="509" t="str">
        <f t="shared" si="2"/>
        <v>Paaiškinimas, kaip nustatyta rodiklio L700 reikšmė</v>
      </c>
      <c r="C188" s="677" t="str">
        <f>'10'!F35</f>
        <v xml:space="preserve"> </v>
      </c>
    </row>
    <row r="189" spans="1:3" ht="28.8" x14ac:dyDescent="0.3">
      <c r="A189" s="2" t="s">
        <v>734</v>
      </c>
      <c r="B189" s="651" t="str">
        <f t="shared" si="2"/>
        <v>D dalis. Priemonės indėlis į ES ir nacionalinių horizontaliųjų principų įgyvendinimą:</v>
      </c>
      <c r="C189" s="676"/>
    </row>
    <row r="190" spans="1:3" x14ac:dyDescent="0.3">
      <c r="A190" s="2" t="s">
        <v>735</v>
      </c>
      <c r="B190" s="680" t="str">
        <f t="shared" si="2"/>
        <v>Subregioninės vietovės principas:</v>
      </c>
      <c r="C190" s="676"/>
    </row>
    <row r="191" spans="1:3" ht="28.8" x14ac:dyDescent="0.3">
      <c r="A191" s="2" t="s">
        <v>736</v>
      </c>
      <c r="B191" s="509" t="str">
        <f t="shared" si="2"/>
        <v>Ar siekiama, kad pagal priemonę finansuojami projektai apimtų visas VVG teritorijos seniūnijas?</v>
      </c>
      <c r="C191" s="672" t="str">
        <f>'10'!F38</f>
        <v>Taip</v>
      </c>
    </row>
    <row r="192" spans="1:3" ht="43.2" x14ac:dyDescent="0.3">
      <c r="A192" s="2" t="s">
        <v>737</v>
      </c>
      <c r="B192" s="509" t="str">
        <f t="shared" si="2"/>
        <v>Pasirinkimo pagrindimas</v>
      </c>
      <c r="C192" s="677" t="str">
        <f>'10'!F39</f>
        <v>8 projektai, 8 seniūnijos. Tikimasi, kad veiklos apims visas seniūnijas ir paraiškos bus pateiktos iš visų seniūnijų panaudojant viešinimo /aktyvinio veiksmus.</v>
      </c>
    </row>
    <row r="193" spans="1:3" x14ac:dyDescent="0.3">
      <c r="A193" s="2" t="s">
        <v>738</v>
      </c>
      <c r="B193" s="680" t="str">
        <f t="shared" si="2"/>
        <v>Partnerystės principas:</v>
      </c>
      <c r="C193" s="676"/>
    </row>
    <row r="194" spans="1:3" ht="28.8" x14ac:dyDescent="0.3">
      <c r="A194" s="2" t="s">
        <v>739</v>
      </c>
      <c r="B194" s="509" t="str">
        <f t="shared" si="2"/>
        <v>Ar siekiama, kad pagal priemonę finansuojami projektai būtų vykdomi su partneriais?</v>
      </c>
      <c r="C194" s="672" t="str">
        <f>'10'!F41</f>
        <v>Taip, pasirinktinai</v>
      </c>
    </row>
    <row r="195" spans="1:3" x14ac:dyDescent="0.3">
      <c r="A195" s="2" t="s">
        <v>740</v>
      </c>
      <c r="B195" s="509" t="str">
        <f t="shared" si="2"/>
        <v>Pasirinkimo pagrindimas</v>
      </c>
      <c r="C195" s="677" t="str">
        <f>'10'!F42</f>
        <v>Papildomi atrankos balai.</v>
      </c>
    </row>
    <row r="196" spans="1:3" x14ac:dyDescent="0.3">
      <c r="A196" s="2" t="s">
        <v>741</v>
      </c>
      <c r="B196" s="680" t="str">
        <f t="shared" si="2"/>
        <v>Inovacijų principas:</v>
      </c>
      <c r="C196" s="676"/>
    </row>
    <row r="197" spans="1:3" ht="28.8" x14ac:dyDescent="0.3">
      <c r="A197" s="2" t="s">
        <v>742</v>
      </c>
      <c r="B197" s="509" t="str">
        <f t="shared" si="2"/>
        <v>Ar siekiama, kad pagal priemonę finansuojami projektai būtų skirti inovacijoms vietos lygiu diegti?</v>
      </c>
      <c r="C197" s="672" t="str">
        <f>'10'!F44</f>
        <v>Taip, privalomai</v>
      </c>
    </row>
    <row r="198" spans="1:3" x14ac:dyDescent="0.3">
      <c r="A198" s="2" t="s">
        <v>743</v>
      </c>
      <c r="B198" s="509" t="str">
        <f t="shared" si="2"/>
        <v>Pasirinkimo pagrindimas</v>
      </c>
      <c r="C198" s="677" t="str">
        <f>'10'!F45</f>
        <v>Reikalavimas bus taikomas kaip tinkamumo sąlyga.</v>
      </c>
    </row>
    <row r="199" spans="1:3" ht="28.8" x14ac:dyDescent="0.3">
      <c r="A199" s="2" t="s">
        <v>744</v>
      </c>
      <c r="B199" s="509" t="str">
        <f t="shared" si="2"/>
        <v>Planuojama paremti projektų, skirtų inovacijoms vietos lygiu diegti (rodiklis L710)</v>
      </c>
      <c r="C199" s="679">
        <f>'10'!F46</f>
        <v>8</v>
      </c>
    </row>
    <row r="200" spans="1:3" x14ac:dyDescent="0.3">
      <c r="A200" s="2" t="s">
        <v>745</v>
      </c>
      <c r="B200" s="680" t="str">
        <f t="shared" si="2"/>
        <v>Lyčių lygybė ir nediskriminavimas:</v>
      </c>
      <c r="C200" s="676"/>
    </row>
    <row r="201" spans="1:3" ht="28.8" x14ac:dyDescent="0.3">
      <c r="A201" s="2" t="s">
        <v>746</v>
      </c>
      <c r="B201" s="509" t="str">
        <f t="shared" si="2"/>
        <v>Ar pagal priemonę finansuojami projektai, skirti lyčių lygybei ir nediskriminavimui?</v>
      </c>
      <c r="C201" s="672" t="str">
        <f>'10'!F48</f>
        <v>Taip</v>
      </c>
    </row>
    <row r="202" spans="1:3" ht="72" x14ac:dyDescent="0.3">
      <c r="A202" s="2" t="s">
        <v>747</v>
      </c>
      <c r="B202" s="509" t="str">
        <f t="shared" si="2"/>
        <v>Pasirinkimo pagrindimas (jei taip, kaip bus užtikrinta)</v>
      </c>
      <c r="C202" s="677" t="str">
        <f>'10'!F49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03" spans="1:3" x14ac:dyDescent="0.3">
      <c r="A203" s="2" t="s">
        <v>748</v>
      </c>
      <c r="B203" s="680" t="str">
        <f t="shared" si="2"/>
        <v>Jaunimas:</v>
      </c>
      <c r="C203" s="676"/>
    </row>
    <row r="204" spans="1:3" x14ac:dyDescent="0.3">
      <c r="A204" s="2" t="s">
        <v>749</v>
      </c>
      <c r="B204" s="509" t="str">
        <f t="shared" si="2"/>
        <v>Ar pagal priemonę finansuojami projektai, skirti jaunimui?</v>
      </c>
      <c r="C204" s="672" t="str">
        <f>'10'!F51</f>
        <v>Ne</v>
      </c>
    </row>
    <row r="205" spans="1:3" ht="43.2" x14ac:dyDescent="0.3">
      <c r="A205" s="2" t="s">
        <v>750</v>
      </c>
      <c r="B205" s="509" t="str">
        <f t="shared" si="2"/>
        <v>Pasirinkimo pagrindimas (jei taip, kaip bus užtikrinta)</v>
      </c>
      <c r="C205" s="677" t="str">
        <f>'10'!F52</f>
        <v>Dalyvauti projektinėse veiklose ir juos teikti bus sudarytos vienodos sąlygos visiems, netaikant pozityvios diskriminacijos pagal amžių.</v>
      </c>
    </row>
    <row r="206" spans="1:3" x14ac:dyDescent="0.3">
      <c r="A206" s="2" t="s">
        <v>751</v>
      </c>
      <c r="B206" s="675" t="str">
        <f t="shared" si="2"/>
        <v>E dalis. Priemonės rezultato rodikliai:</v>
      </c>
      <c r="C206" s="676"/>
    </row>
    <row r="207" spans="1:3" x14ac:dyDescent="0.3">
      <c r="A207" s="2" t="s">
        <v>752</v>
      </c>
      <c r="B207" s="680" t="str">
        <f t="shared" si="2"/>
        <v>SP rezultato rodiklių taikymas priemonei:</v>
      </c>
      <c r="C207" s="676"/>
    </row>
    <row r="208" spans="1:3" x14ac:dyDescent="0.3">
      <c r="A208" s="2" t="s">
        <v>753</v>
      </c>
      <c r="B208" s="681" t="str">
        <f t="shared" si="2"/>
        <v>R.3</v>
      </c>
      <c r="C208" s="687" t="str">
        <f>'10'!F55</f>
        <v>Ne</v>
      </c>
    </row>
    <row r="209" spans="1:3" x14ac:dyDescent="0.3">
      <c r="A209" s="2" t="s">
        <v>754</v>
      </c>
      <c r="B209" s="681" t="str">
        <f t="shared" si="2"/>
        <v>R.37</v>
      </c>
      <c r="C209" s="687" t="str">
        <f>'10'!F56</f>
        <v>Ne</v>
      </c>
    </row>
    <row r="210" spans="1:3" x14ac:dyDescent="0.3">
      <c r="A210" s="2" t="s">
        <v>755</v>
      </c>
      <c r="B210" s="681" t="str">
        <f t="shared" si="2"/>
        <v>R.39</v>
      </c>
      <c r="C210" s="687" t="str">
        <f>'10'!F57</f>
        <v>Ne</v>
      </c>
    </row>
    <row r="211" spans="1:3" x14ac:dyDescent="0.3">
      <c r="A211" s="2" t="s">
        <v>756</v>
      </c>
      <c r="B211" s="681" t="str">
        <f t="shared" si="2"/>
        <v>R.41</v>
      </c>
      <c r="C211" s="687" t="str">
        <f>'10'!F58</f>
        <v>Taip</v>
      </c>
    </row>
    <row r="212" spans="1:3" x14ac:dyDescent="0.3">
      <c r="A212" s="2" t="s">
        <v>757</v>
      </c>
      <c r="B212" s="681" t="str">
        <f t="shared" si="2"/>
        <v>R.42</v>
      </c>
      <c r="C212" s="687" t="str">
        <f>'10'!F59</f>
        <v>Taip</v>
      </c>
    </row>
    <row r="213" spans="1:3" x14ac:dyDescent="0.3">
      <c r="A213" s="2" t="s">
        <v>758</v>
      </c>
      <c r="B213" s="680" t="str">
        <f t="shared" si="2"/>
        <v>VPS rodiklių taikymas priemonei:</v>
      </c>
      <c r="C213" s="688"/>
    </row>
    <row r="214" spans="1:3" x14ac:dyDescent="0.3">
      <c r="A214" s="2" t="s">
        <v>759</v>
      </c>
      <c r="B214" s="681" t="str">
        <f t="shared" si="2"/>
        <v>TRAK-P.1</v>
      </c>
      <c r="C214" s="687" t="str">
        <f>'10'!F61</f>
        <v>Ne</v>
      </c>
    </row>
    <row r="215" spans="1:3" x14ac:dyDescent="0.3">
      <c r="A215" s="2" t="s">
        <v>760</v>
      </c>
      <c r="B215" s="681" t="str">
        <f t="shared" si="2"/>
        <v>TRAK-P.2</v>
      </c>
      <c r="C215" s="687" t="str">
        <f>'10'!F62</f>
        <v>Ne</v>
      </c>
    </row>
    <row r="216" spans="1:3" x14ac:dyDescent="0.3">
      <c r="A216" s="2" t="s">
        <v>761</v>
      </c>
      <c r="B216" s="681" t="str">
        <f t="shared" si="2"/>
        <v>TRAK-P.3</v>
      </c>
      <c r="C216" s="687" t="str">
        <f>'10'!F63</f>
        <v>Ne</v>
      </c>
    </row>
    <row r="217" spans="1:3" x14ac:dyDescent="0.3">
      <c r="A217" s="2" t="s">
        <v>762</v>
      </c>
      <c r="B217" s="681" t="str">
        <f t="shared" si="2"/>
        <v>TRAK-P.4</v>
      </c>
      <c r="C217" s="687" t="str">
        <f>'10'!F64</f>
        <v>Ne</v>
      </c>
    </row>
    <row r="218" spans="1:3" x14ac:dyDescent="0.3">
      <c r="A218" s="2" t="s">
        <v>763</v>
      </c>
      <c r="B218" s="681" t="str">
        <f t="shared" si="2"/>
        <v>TRAK-P.5</v>
      </c>
      <c r="C218" s="687" t="str">
        <f>'10'!F65</f>
        <v>Ne</v>
      </c>
    </row>
    <row r="219" spans="1:3" x14ac:dyDescent="0.3">
      <c r="A219" s="2" t="s">
        <v>764</v>
      </c>
      <c r="B219" s="681" t="str">
        <f t="shared" si="2"/>
        <v>TRAK-P.6</v>
      </c>
      <c r="C219" s="687" t="str">
        <f>'10'!F66</f>
        <v>Ne</v>
      </c>
    </row>
    <row r="220" spans="1:3" x14ac:dyDescent="0.3">
      <c r="A220" s="2" t="s">
        <v>765</v>
      </c>
      <c r="B220" s="681" t="str">
        <f t="shared" si="2"/>
        <v>TRAK-P.7</v>
      </c>
      <c r="C220" s="687" t="str">
        <f>'10'!F67</f>
        <v>Ne</v>
      </c>
    </row>
    <row r="221" spans="1:3" x14ac:dyDescent="0.3">
      <c r="A221" s="2" t="s">
        <v>766</v>
      </c>
      <c r="B221" s="681" t="str">
        <f t="shared" si="2"/>
        <v>TRAK-P.8</v>
      </c>
      <c r="C221" s="687" t="str">
        <f>'10'!F68</f>
        <v>Ne</v>
      </c>
    </row>
    <row r="222" spans="1:3" x14ac:dyDescent="0.3">
      <c r="A222" s="2" t="s">
        <v>767</v>
      </c>
      <c r="B222" s="681" t="str">
        <f t="shared" si="2"/>
        <v>TRAK-P.9</v>
      </c>
      <c r="C222" s="687" t="str">
        <f>'10'!F69</f>
        <v>Ne</v>
      </c>
    </row>
    <row r="223" spans="1:3" x14ac:dyDescent="0.3">
      <c r="A223" s="2" t="s">
        <v>768</v>
      </c>
      <c r="B223" s="683" t="str">
        <f t="shared" si="2"/>
        <v>TRAK-P.10</v>
      </c>
      <c r="C223" s="689" t="str">
        <f>'10'!F70</f>
        <v>Ne</v>
      </c>
    </row>
    <row r="224" spans="1:3" x14ac:dyDescent="0.3">
      <c r="A224" s="2" t="s">
        <v>769</v>
      </c>
      <c r="B224" s="675" t="str">
        <f t="shared" si="2"/>
        <v>F dalis. Pagal priemonę remiamų projektų pobūdis:</v>
      </c>
      <c r="C224" s="676"/>
    </row>
    <row r="225" spans="1:3" x14ac:dyDescent="0.3">
      <c r="A225" s="2" t="s">
        <v>770</v>
      </c>
      <c r="B225" s="671" t="str">
        <f t="shared" ref="B225:B234" si="3">B148</f>
        <v>Remiami pelno projektai</v>
      </c>
      <c r="C225" s="672" t="str">
        <f>'10'!F72</f>
        <v>Ne</v>
      </c>
    </row>
    <row r="226" spans="1:3" ht="57.6" x14ac:dyDescent="0.3">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Ne</v>
      </c>
    </row>
    <row r="227" spans="1:3" ht="57.6" x14ac:dyDescent="0.3">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Ne</v>
      </c>
    </row>
    <row r="228" spans="1:3" ht="43.2" x14ac:dyDescent="0.3">
      <c r="A228" s="2" t="s">
        <v>773</v>
      </c>
      <c r="B228" s="673" t="str">
        <f t="shared" si="3"/>
        <v>Remiami projektai, susiję su atsinaujinančios energijos gamybos pajėgumais, įskaitant biologinę (aktualu rodikliui L803)</v>
      </c>
      <c r="C228" s="672" t="str">
        <f>'10'!F75</f>
        <v>Ne</v>
      </c>
    </row>
    <row r="229" spans="1:3" ht="43.2" x14ac:dyDescent="0.3">
      <c r="A229" s="2" t="s">
        <v>774</v>
      </c>
      <c r="B229" s="673" t="str">
        <f t="shared" si="3"/>
        <v>Remiami projektai, prisidedantys prie aplinkos tvarumo, klimato kaitos švelninimo bei prisitaikymo prie jos tikslų įgyvendinimo kaimo vietovėse (aktualu rodikliui L804)</v>
      </c>
      <c r="C229" s="672" t="str">
        <f>'10'!F76</f>
        <v>Ne</v>
      </c>
    </row>
    <row r="230" spans="1:3" ht="28.8" x14ac:dyDescent="0.3">
      <c r="A230" s="2" t="s">
        <v>775</v>
      </c>
      <c r="B230" s="673" t="str">
        <f t="shared" si="3"/>
        <v>Remiami projektai, kurie kuria darbo vietas (aktualu rodikliui L805)</v>
      </c>
      <c r="C230" s="672" t="str">
        <f>'10'!F77</f>
        <v>Ne</v>
      </c>
    </row>
    <row r="231" spans="1:3" ht="28.8" x14ac:dyDescent="0.3">
      <c r="A231" s="2" t="s">
        <v>776</v>
      </c>
      <c r="B231" s="673" t="str">
        <f t="shared" si="3"/>
        <v>Remiami kaimo verslų, įskaitant bioekonomiką, projektai (aktualu rodikliui L 806)</v>
      </c>
      <c r="C231" s="672" t="str">
        <f>'10'!F78</f>
        <v>Ne</v>
      </c>
    </row>
    <row r="232" spans="1:3" ht="28.8" x14ac:dyDescent="0.3">
      <c r="A232" s="2" t="s">
        <v>777</v>
      </c>
      <c r="B232" s="673" t="str">
        <f t="shared" si="3"/>
        <v>Remiami projektai, susiję su sumanių kaimų strategijomis (aktualu rodikliui L807)</v>
      </c>
      <c r="C232" s="672" t="str">
        <f>'10'!F79</f>
        <v>Ne</v>
      </c>
    </row>
    <row r="233" spans="1:3" ht="28.8" x14ac:dyDescent="0.3">
      <c r="A233" s="2" t="s">
        <v>778</v>
      </c>
      <c r="B233" s="673" t="str">
        <f t="shared" si="3"/>
        <v>Remiami projektai, gerinantys paslaugų prieinamumą ir infrastruktūrą (aktualu rodikliui L808)</v>
      </c>
      <c r="C233" s="672" t="str">
        <f>'10'!F80</f>
        <v>Ne</v>
      </c>
    </row>
    <row r="234" spans="1:3" ht="28.8" x14ac:dyDescent="0.3">
      <c r="A234" s="2" t="s">
        <v>779</v>
      </c>
      <c r="B234" s="673" t="str">
        <f t="shared" si="3"/>
        <v>Remiami socialinės įtraukties projektai (aktualu rodikliui L809)</v>
      </c>
      <c r="C234" s="672" t="str">
        <f>'10'!F81</f>
        <v>Ne</v>
      </c>
    </row>
    <row r="235" spans="1:3" x14ac:dyDescent="0.3">
      <c r="B235" s="649"/>
      <c r="C235" s="685"/>
    </row>
    <row r="236" spans="1:3" x14ac:dyDescent="0.3">
      <c r="A236" s="1"/>
      <c r="B236" s="362"/>
      <c r="C236" s="686" t="str">
        <f>'10'!G6</f>
        <v>4 priemonė</v>
      </c>
    </row>
    <row r="237" spans="1:3" x14ac:dyDescent="0.3">
      <c r="A237" s="2" t="s">
        <v>188</v>
      </c>
      <c r="B237" s="509" t="str">
        <f>B160</f>
        <v>Priemonės pavadinimas</v>
      </c>
      <c r="C237" s="670" t="str">
        <f>'10'!G7</f>
        <v>Potencialių pareiškėjų ir projektų vykdytojų mokymai</v>
      </c>
    </row>
    <row r="238" spans="1:3" x14ac:dyDescent="0.3">
      <c r="A238" s="2" t="s">
        <v>189</v>
      </c>
      <c r="B238" s="671" t="str">
        <f t="shared" ref="B238:B301" si="4">B161</f>
        <v>Priemonės rūšis</v>
      </c>
      <c r="C238" s="670" t="str">
        <f>'10'!G8</f>
        <v>Mokymų projektai</v>
      </c>
    </row>
    <row r="239" spans="1:3" x14ac:dyDescent="0.3">
      <c r="A239" s="2" t="s">
        <v>190</v>
      </c>
      <c r="B239" s="671" t="str">
        <f t="shared" si="4"/>
        <v>VVG teritorijos poreikių, kuriuos tenkina priemonė, skaičius</v>
      </c>
      <c r="C239" s="670">
        <f>'10'!G9</f>
        <v>3</v>
      </c>
    </row>
    <row r="240" spans="1:3" x14ac:dyDescent="0.3">
      <c r="A240" s="2" t="s">
        <v>191</v>
      </c>
      <c r="B240" s="671" t="str">
        <f t="shared" si="4"/>
        <v>BŽŪP tikslų, kuriuos įgyvendina priemonė, skaičius</v>
      </c>
      <c r="C240" s="670">
        <f>'10'!G10</f>
        <v>3</v>
      </c>
    </row>
    <row r="241" spans="1:3" ht="57.6" x14ac:dyDescent="0.3">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28.8" x14ac:dyDescent="0.3">
      <c r="A242" s="2" t="s">
        <v>193</v>
      </c>
      <c r="B242" s="673" t="str">
        <f t="shared" si="4"/>
        <v>Ar priemonė prisideda prie 4 konkretaus BŽŪP tikslo? (tikslas nurodytas 5 lape)</v>
      </c>
      <c r="C242" s="672" t="str">
        <f>'10'!G12</f>
        <v>Ne</v>
      </c>
    </row>
    <row r="243" spans="1:3" ht="28.8" x14ac:dyDescent="0.3">
      <c r="A243" s="2" t="s">
        <v>194</v>
      </c>
      <c r="B243" s="673" t="str">
        <f t="shared" si="4"/>
        <v>Ar priemonė prisideda prie 5 konkretaus BŽŪP tikslo? (tikslas nurodytas 5 lape)</v>
      </c>
      <c r="C243" s="672" t="str">
        <f>'10'!G13</f>
        <v>Taip</v>
      </c>
    </row>
    <row r="244" spans="1:3" ht="28.8" x14ac:dyDescent="0.3">
      <c r="A244" s="2" t="s">
        <v>195</v>
      </c>
      <c r="B244" s="673" t="str">
        <f t="shared" si="4"/>
        <v>Ar priemonė prisideda prie 6 konkretaus BŽŪP tikslo? (tikslas nurodytas 5 lape)</v>
      </c>
      <c r="C244" s="672" t="str">
        <f>'10'!G14</f>
        <v>Taip</v>
      </c>
    </row>
    <row r="245" spans="1:3" ht="28.8" x14ac:dyDescent="0.3">
      <c r="A245" s="2" t="s">
        <v>196</v>
      </c>
      <c r="B245" s="673" t="str">
        <f t="shared" si="4"/>
        <v>Ar priemonė prisideda prie 9 konkretaus BŽŪP tikslo? (tikslas nurodytas 5 lape)</v>
      </c>
      <c r="C245" s="672" t="str">
        <f>'10'!G15</f>
        <v>Taip</v>
      </c>
    </row>
    <row r="246" spans="1:3" x14ac:dyDescent="0.3">
      <c r="A246" s="2" t="s">
        <v>94</v>
      </c>
      <c r="B246" s="675" t="str">
        <f t="shared" si="4"/>
        <v>A dalis. Priemonės intervencijos logika:</v>
      </c>
      <c r="C246" s="676"/>
    </row>
    <row r="247" spans="1:3" ht="129.6" x14ac:dyDescent="0.3">
      <c r="A247" s="2" t="s">
        <v>197</v>
      </c>
      <c r="B247" s="673" t="str">
        <f t="shared" si="4"/>
        <v>Priemonės tikslas, ryšys su pagrindiniu BŽŪP tikslu ir VVG teritorijos poreikiais (problemomis ir (arba) potencialu), ryšys su VPS tema (jei taikoma)</v>
      </c>
      <c r="C247" s="677" t="str">
        <f>'10'!G17</f>
        <v xml:space="preserve">Priemone prisidedama prie BŽŪP R.41  R.42 rodiklių įgyvendinimo. Siekiant patenkinti visus  VPS poreikius, būtini mokymai. Beveik visose priemonėse  numatytos inovacijos ir bendradarbiavimas. Susitikimuose ir apklausoje didelis poreikis mokytis, nes  žmonėms trūksta informacijos apie žiedinę ekonomiką, skaitmenizavimą, žaliąjį kursą, sveikatinimą. Todėl numatyta didesnė dalis mokymų, veiklų projektų, kurių dėka labiau sutelkiama, šviečiama, tuo pačiu įtraukiama į bendrus sprendimų priėmimus.  </v>
      </c>
    </row>
    <row r="248" spans="1:3" ht="57.6" x14ac:dyDescent="0.3">
      <c r="A248" s="2" t="s">
        <v>198</v>
      </c>
      <c r="B248" s="671" t="str">
        <f t="shared" si="4"/>
        <v>Pokytis, kurio siekiama VPS priemone</v>
      </c>
      <c r="C248" s="677" t="str">
        <f>'10'!G18</f>
        <v xml:space="preserve">Padidėjęs  gyventojų ekologinis, aplinkosauginis sąmoningumas; įvairių sektorių atstovai geba priimti bendrus sprendimus,  teikiami projektai inovatyvūs, juos įgyvedinant priimami tvarūs sprendimai. </v>
      </c>
    </row>
    <row r="249" spans="1:3" ht="28.8" x14ac:dyDescent="0.3">
      <c r="A249" s="2" t="s">
        <v>199</v>
      </c>
      <c r="B249" s="509" t="str">
        <f t="shared" si="4"/>
        <v>Kaip priemonė prisidės prie horizontalaus tikslo d įgyvendinimo? (pildoma, jei taikoma)</v>
      </c>
      <c r="C249" s="677" t="str">
        <f>'10'!G19</f>
        <v>Netaikoma</v>
      </c>
    </row>
    <row r="250" spans="1:3" ht="28.8" x14ac:dyDescent="0.3">
      <c r="A250" s="2" t="s">
        <v>200</v>
      </c>
      <c r="B250" s="509" t="str">
        <f t="shared" si="4"/>
        <v>Kaip priemonė prisidės prie horizontalaus tikslo e įgyvendinimo? (pildoma, jei taikoma)</v>
      </c>
      <c r="C250" s="677" t="str">
        <f>'10'!G20</f>
        <v>Netaikoma</v>
      </c>
    </row>
    <row r="251" spans="1:3" ht="28.8" x14ac:dyDescent="0.3">
      <c r="A251" s="2" t="s">
        <v>201</v>
      </c>
      <c r="B251" s="509" t="str">
        <f t="shared" si="4"/>
        <v>Kaip priemonė prisidės prie horizontalaus tikslo f įgyvendinimo? (pildoma, jei taikoma)</v>
      </c>
      <c r="C251" s="677" t="str">
        <f>'10'!G21</f>
        <v>Netaikoma</v>
      </c>
    </row>
    <row r="252" spans="1:3" ht="28.8" x14ac:dyDescent="0.3">
      <c r="A252" s="2" t="s">
        <v>202</v>
      </c>
      <c r="B252" s="509" t="str">
        <f t="shared" si="4"/>
        <v>Kaip priemonė prisidės prie horizontalaus tikslo i įgyvendinimo? (pildoma, jei taikoma)</v>
      </c>
      <c r="C252" s="677" t="str">
        <f>'10'!G22</f>
        <v xml:space="preserve">Netaikoma </v>
      </c>
    </row>
    <row r="253" spans="1:3" ht="28.8" x14ac:dyDescent="0.3">
      <c r="A253" s="2" t="s">
        <v>203</v>
      </c>
      <c r="B253" s="675" t="str">
        <f t="shared" si="4"/>
        <v>B dalis. Pareiškėjų ir projektų tinkamumo sąlygos, projektų atrankos principai:</v>
      </c>
      <c r="C253" s="676"/>
    </row>
    <row r="254" spans="1:3" x14ac:dyDescent="0.3">
      <c r="A254" s="2" t="s">
        <v>204</v>
      </c>
      <c r="B254" s="509" t="str">
        <f t="shared" si="4"/>
        <v>Pagal priemonę remiamos veiklos</v>
      </c>
      <c r="C254" s="677" t="str">
        <f>'10'!G24</f>
        <v xml:space="preserve">Mokymų organizavimas </v>
      </c>
    </row>
    <row r="255" spans="1:3" ht="43.2" x14ac:dyDescent="0.3">
      <c r="A255" s="2" t="s">
        <v>205</v>
      </c>
      <c r="B255" s="671" t="str">
        <f t="shared" si="4"/>
        <v>Tinkami pareiškėjai ir partneriai (jei taikomas reikalavimas projektus įgyvendinti su partneriais)</v>
      </c>
      <c r="C255" s="677" t="str">
        <f>'10'!G25</f>
        <v xml:space="preserve"> NVO, VšĮ ir kitos asociacijos, kurių veikla atitinka NVO apibrėžtį,  registruotos ne mažiau kaip prieš metus VVG teritorijoje teikiant paraišką.</v>
      </c>
    </row>
    <row r="256" spans="1:3" ht="28.8" x14ac:dyDescent="0.3">
      <c r="A256" s="2" t="s">
        <v>206</v>
      </c>
      <c r="B256" s="671" t="str">
        <f t="shared" si="4"/>
        <v>Priemonės tikslinė grupė (pildoma, jei nesutampa su tinkamais pareiškėjais ir (arba) partneriais)</v>
      </c>
      <c r="C256" s="677" t="str">
        <f>'10'!G26</f>
        <v>Potencialūs vietos projektų pareiškėjai, vykdytojai.</v>
      </c>
    </row>
    <row r="257" spans="1:3" ht="28.8" x14ac:dyDescent="0.3">
      <c r="A257" s="2" t="s">
        <v>725</v>
      </c>
      <c r="B257" s="509" t="str">
        <f t="shared" si="4"/>
        <v>Tinkamumo sąlygos pareiškėjams ir projektams</v>
      </c>
      <c r="C257" s="677" t="str">
        <f>'10'!G27</f>
        <v xml:space="preserve">Tinkamumo sąlygos pareiškėjams  ir  vietos projektams bus nurodytos Vietos projektų administravimo taisyklėse. </v>
      </c>
    </row>
    <row r="258" spans="1:3" ht="86.4" x14ac:dyDescent="0.3">
      <c r="A258" s="2" t="s">
        <v>726</v>
      </c>
      <c r="B258" s="673" t="str">
        <f t="shared" si="4"/>
        <v>Projektų atrankos principai</v>
      </c>
      <c r="C258" s="677" t="str">
        <f>'10'!G28</f>
        <v>1.Didesnis apmokytų vietos projektų pareiškėjų ir vykdytojų asmenų skaičius;
2. Mokymų temų, susijusių su skaitmeninimu ir/ar inovacijomis, skaičius 
Detalus atrankos kriterijų sąrašas bus nustatomas priemonės įgyvendinimo taisyklėse</v>
      </c>
    </row>
    <row r="259" spans="1:3" x14ac:dyDescent="0.3">
      <c r="A259" s="2" t="s">
        <v>727</v>
      </c>
      <c r="B259" s="509" t="str">
        <f t="shared" si="4"/>
        <v>Planuojamų kvietimų teikti paraiškas skaičius</v>
      </c>
      <c r="C259" s="670">
        <f>'10'!G29</f>
        <v>3</v>
      </c>
    </row>
    <row r="260" spans="1:3" x14ac:dyDescent="0.3">
      <c r="A260" s="2" t="s">
        <v>728</v>
      </c>
      <c r="B260" s="651" t="str">
        <f t="shared" si="4"/>
        <v>C dalis. Paramos dydžiai:</v>
      </c>
      <c r="C260" s="676"/>
    </row>
    <row r="261" spans="1:3" x14ac:dyDescent="0.3">
      <c r="A261" s="2" t="s">
        <v>729</v>
      </c>
      <c r="B261" s="509" t="str">
        <f t="shared" si="4"/>
        <v>Didžiausia paramos suma vietos projektui, Eur</v>
      </c>
      <c r="C261" s="677">
        <f>'10'!G31</f>
        <v>10000</v>
      </c>
    </row>
    <row r="262" spans="1:3" x14ac:dyDescent="0.3">
      <c r="A262" s="2" t="s">
        <v>730</v>
      </c>
      <c r="B262" s="509" t="str">
        <f t="shared" si="4"/>
        <v xml:space="preserve">Paramos lyginamoji dalis, proc. </v>
      </c>
      <c r="C262" s="677" t="str">
        <f>'10'!G32</f>
        <v xml:space="preserve">iki 90 </v>
      </c>
    </row>
    <row r="263" spans="1:3" x14ac:dyDescent="0.3">
      <c r="A263" s="2" t="s">
        <v>731</v>
      </c>
      <c r="B263" s="509" t="str">
        <f t="shared" si="4"/>
        <v>Planuojama paramos suma priemonei, Eur</v>
      </c>
      <c r="C263" s="678">
        <f>'10'!G33</f>
        <v>80000</v>
      </c>
    </row>
    <row r="264" spans="1:3" x14ac:dyDescent="0.3">
      <c r="A264" s="2" t="s">
        <v>732</v>
      </c>
      <c r="B264" s="509" t="str">
        <f t="shared" si="4"/>
        <v>Planuojama paremti projektų (rodiklis L700)</v>
      </c>
      <c r="C264" s="679">
        <f>'10'!G34</f>
        <v>8</v>
      </c>
    </row>
    <row r="265" spans="1:3" ht="43.2" x14ac:dyDescent="0.3">
      <c r="A265" s="2" t="s">
        <v>733</v>
      </c>
      <c r="B265" s="509" t="str">
        <f t="shared" si="4"/>
        <v>Paaiškinimas, kaip nustatyta rodiklio L700 reikšmė</v>
      </c>
      <c r="C265" s="677" t="str">
        <f>'10'!G35</f>
        <v xml:space="preserve">Pagal priemonę planuojamų paremti projektų skaičius apskaičiuotas pagal maksimalią galimą paramos sumą vienam projektui. </v>
      </c>
    </row>
    <row r="266" spans="1:3" ht="28.8" x14ac:dyDescent="0.3">
      <c r="A266" s="2" t="s">
        <v>734</v>
      </c>
      <c r="B266" s="651" t="str">
        <f t="shared" si="4"/>
        <v>D dalis. Priemonės indėlis į ES ir nacionalinių horizontaliųjų principų įgyvendinimą:</v>
      </c>
      <c r="C266" s="676"/>
    </row>
    <row r="267" spans="1:3" x14ac:dyDescent="0.3">
      <c r="A267" s="2" t="s">
        <v>735</v>
      </c>
      <c r="B267" s="680" t="str">
        <f t="shared" si="4"/>
        <v>Subregioninės vietovės principas:</v>
      </c>
      <c r="C267" s="676"/>
    </row>
    <row r="268" spans="1:3" ht="28.8" x14ac:dyDescent="0.3">
      <c r="A268" s="2" t="s">
        <v>736</v>
      </c>
      <c r="B268" s="509" t="str">
        <f t="shared" si="4"/>
        <v>Ar siekiama, kad pagal priemonę finansuojami projektai apimtų visas VVG teritorijos seniūnijas?</v>
      </c>
      <c r="C268" s="672" t="str">
        <f>'10'!G38</f>
        <v>Taip</v>
      </c>
    </row>
    <row r="269" spans="1:3" ht="43.2" x14ac:dyDescent="0.3">
      <c r="A269" s="2" t="s">
        <v>737</v>
      </c>
      <c r="B269" s="509" t="str">
        <f t="shared" si="4"/>
        <v>Pasirinkimo pagrindimas</v>
      </c>
      <c r="C269" s="677" t="str">
        <f>'10'!G39</f>
        <v>8 projektai, 8 seniūnijos. Tikimasi, kad veiklos apims visas seniūnijas ir paraiškos bus pateiktos iš visų seniūnijų panaudojant viešinimo /aktyvinio veiksmus.</v>
      </c>
    </row>
    <row r="270" spans="1:3" x14ac:dyDescent="0.3">
      <c r="A270" s="2" t="s">
        <v>738</v>
      </c>
      <c r="B270" s="680" t="str">
        <f t="shared" si="4"/>
        <v>Partnerystės principas:</v>
      </c>
      <c r="C270" s="676"/>
    </row>
    <row r="271" spans="1:3" ht="28.8" x14ac:dyDescent="0.3">
      <c r="A271" s="2" t="s">
        <v>739</v>
      </c>
      <c r="B271" s="509" t="str">
        <f t="shared" si="4"/>
        <v>Ar siekiama, kad pagal priemonę finansuojami projektai būtų vykdomi su partneriais?</v>
      </c>
      <c r="C271" s="672" t="str">
        <f>'10'!G41</f>
        <v>Ne</v>
      </c>
    </row>
    <row r="272" spans="1:3" x14ac:dyDescent="0.3">
      <c r="A272" s="2" t="s">
        <v>740</v>
      </c>
      <c r="B272" s="509" t="str">
        <f t="shared" si="4"/>
        <v>Pasirinkimo pagrindimas</v>
      </c>
      <c r="C272" s="677">
        <f>'10'!G42</f>
        <v>0</v>
      </c>
    </row>
    <row r="273" spans="1:3" x14ac:dyDescent="0.3">
      <c r="A273" s="2" t="s">
        <v>741</v>
      </c>
      <c r="B273" s="680" t="str">
        <f t="shared" si="4"/>
        <v>Inovacijų principas:</v>
      </c>
      <c r="C273" s="676"/>
    </row>
    <row r="274" spans="1:3" ht="28.8" x14ac:dyDescent="0.3">
      <c r="A274" s="2" t="s">
        <v>742</v>
      </c>
      <c r="B274" s="509" t="str">
        <f t="shared" si="4"/>
        <v>Ar siekiama, kad pagal priemonę finansuojami projektai būtų skirti inovacijoms vietos lygiu diegti?</v>
      </c>
      <c r="C274" s="672" t="str">
        <f>'10'!G44</f>
        <v>Taip, privalomai</v>
      </c>
    </row>
    <row r="275" spans="1:3" x14ac:dyDescent="0.3">
      <c r="A275" s="2" t="s">
        <v>743</v>
      </c>
      <c r="B275" s="509" t="str">
        <f t="shared" si="4"/>
        <v>Pasirinkimo pagrindimas</v>
      </c>
      <c r="C275" s="677" t="str">
        <f>'10'!G45</f>
        <v>Reikalavimas bus taikomas kaip tinkamumo sąlyga.</v>
      </c>
    </row>
    <row r="276" spans="1:3" ht="28.8" x14ac:dyDescent="0.3">
      <c r="A276" s="2" t="s">
        <v>744</v>
      </c>
      <c r="B276" s="509" t="str">
        <f t="shared" si="4"/>
        <v>Planuojama paremti projektų, skirtų inovacijoms vietos lygiu diegti (rodiklis L710)</v>
      </c>
      <c r="C276" s="679">
        <f>'10'!G46</f>
        <v>4</v>
      </c>
    </row>
    <row r="277" spans="1:3" x14ac:dyDescent="0.3">
      <c r="A277" s="2" t="s">
        <v>745</v>
      </c>
      <c r="B277" s="680" t="str">
        <f t="shared" si="4"/>
        <v>Lyčių lygybė ir nediskriminavimas:</v>
      </c>
      <c r="C277" s="676"/>
    </row>
    <row r="278" spans="1:3" ht="28.8" x14ac:dyDescent="0.3">
      <c r="A278" s="2" t="s">
        <v>746</v>
      </c>
      <c r="B278" s="509" t="str">
        <f t="shared" si="4"/>
        <v>Ar pagal priemonę finansuojami projektai, skirti lyčių lygybei ir nediskriminavimui?</v>
      </c>
      <c r="C278" s="672" t="str">
        <f>'10'!G48</f>
        <v>Taip</v>
      </c>
    </row>
    <row r="279" spans="1:3" ht="72" x14ac:dyDescent="0.3">
      <c r="A279" s="2" t="s">
        <v>747</v>
      </c>
      <c r="B279" s="509" t="str">
        <f t="shared" si="4"/>
        <v>Pasirinkimo pagrindimas (jei taip, kaip bus užtikrinta)</v>
      </c>
      <c r="C279" s="677" t="str">
        <f>'10'!G49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80" spans="1:3" x14ac:dyDescent="0.3">
      <c r="A280" s="2" t="s">
        <v>748</v>
      </c>
      <c r="B280" s="680" t="str">
        <f t="shared" si="4"/>
        <v>Jaunimas:</v>
      </c>
      <c r="C280" s="676"/>
    </row>
    <row r="281" spans="1:3" x14ac:dyDescent="0.3">
      <c r="A281" s="2" t="s">
        <v>749</v>
      </c>
      <c r="B281" s="509" t="str">
        <f t="shared" si="4"/>
        <v>Ar pagal priemonę finansuojami projektai, skirti jaunimui?</v>
      </c>
      <c r="C281" s="672" t="str">
        <f>'10'!G51</f>
        <v>Taip</v>
      </c>
    </row>
    <row r="282" spans="1:3" ht="43.2" x14ac:dyDescent="0.3">
      <c r="A282" s="2" t="s">
        <v>750</v>
      </c>
      <c r="B282" s="509" t="str">
        <f t="shared" si="4"/>
        <v>Pasirinkimo pagrindimas (jei taip, kaip bus užtikrinta)</v>
      </c>
      <c r="C282" s="677" t="str">
        <f>'10'!G52</f>
        <v>Dalyvauti projektinėse veiklose ir juos teikti bus sudarytos vienodos sąlygos visiems, netaikant pozityvios diskriminacijos pagal amžių.</v>
      </c>
    </row>
    <row r="283" spans="1:3" x14ac:dyDescent="0.3">
      <c r="A283" s="2" t="s">
        <v>751</v>
      </c>
      <c r="B283" s="675" t="str">
        <f t="shared" si="4"/>
        <v>E dalis. Priemonės rezultato rodikliai:</v>
      </c>
      <c r="C283" s="676"/>
    </row>
    <row r="284" spans="1:3" x14ac:dyDescent="0.3">
      <c r="A284" s="2" t="s">
        <v>752</v>
      </c>
      <c r="B284" s="680" t="str">
        <f t="shared" si="4"/>
        <v>SP rezultato rodiklių taikymas priemonei:</v>
      </c>
      <c r="C284" s="676"/>
    </row>
    <row r="285" spans="1:3" x14ac:dyDescent="0.3">
      <c r="A285" s="2" t="s">
        <v>753</v>
      </c>
      <c r="B285" s="681" t="str">
        <f t="shared" si="4"/>
        <v>R.3</v>
      </c>
      <c r="C285" s="687" t="str">
        <f>'10'!G55</f>
        <v>Taip</v>
      </c>
    </row>
    <row r="286" spans="1:3" x14ac:dyDescent="0.3">
      <c r="A286" s="2" t="s">
        <v>754</v>
      </c>
      <c r="B286" s="681" t="str">
        <f t="shared" si="4"/>
        <v>R.37</v>
      </c>
      <c r="C286" s="687" t="str">
        <f>'10'!G56</f>
        <v>Ne</v>
      </c>
    </row>
    <row r="287" spans="1:3" x14ac:dyDescent="0.3">
      <c r="A287" s="2" t="s">
        <v>755</v>
      </c>
      <c r="B287" s="681" t="str">
        <f t="shared" si="4"/>
        <v>R.39</v>
      </c>
      <c r="C287" s="687" t="str">
        <f>'10'!G57</f>
        <v>Ne</v>
      </c>
    </row>
    <row r="288" spans="1:3" x14ac:dyDescent="0.3">
      <c r="A288" s="2" t="s">
        <v>756</v>
      </c>
      <c r="B288" s="681" t="str">
        <f t="shared" si="4"/>
        <v>R.41</v>
      </c>
      <c r="C288" s="687" t="str">
        <f>'10'!G58</f>
        <v>Taip</v>
      </c>
    </row>
    <row r="289" spans="1:3" x14ac:dyDescent="0.3">
      <c r="A289" s="2" t="s">
        <v>757</v>
      </c>
      <c r="B289" s="681" t="str">
        <f t="shared" si="4"/>
        <v>R.42</v>
      </c>
      <c r="C289" s="687" t="str">
        <f>'10'!G59</f>
        <v>Ne</v>
      </c>
    </row>
    <row r="290" spans="1:3" x14ac:dyDescent="0.3">
      <c r="A290" s="2" t="s">
        <v>758</v>
      </c>
      <c r="B290" s="680" t="str">
        <f t="shared" si="4"/>
        <v>VPS rodiklių taikymas priemonei:</v>
      </c>
      <c r="C290" s="688"/>
    </row>
    <row r="291" spans="1:3" x14ac:dyDescent="0.3">
      <c r="A291" s="2" t="s">
        <v>759</v>
      </c>
      <c r="B291" s="681" t="str">
        <f t="shared" si="4"/>
        <v>TRAK-P.1</v>
      </c>
      <c r="C291" s="687" t="str">
        <f>'10'!G61</f>
        <v>Ne</v>
      </c>
    </row>
    <row r="292" spans="1:3" x14ac:dyDescent="0.3">
      <c r="A292" s="2" t="s">
        <v>760</v>
      </c>
      <c r="B292" s="681" t="str">
        <f t="shared" si="4"/>
        <v>TRAK-P.2</v>
      </c>
      <c r="C292" s="687" t="str">
        <f>'10'!G62</f>
        <v>Ne</v>
      </c>
    </row>
    <row r="293" spans="1:3" x14ac:dyDescent="0.3">
      <c r="A293" s="2" t="s">
        <v>761</v>
      </c>
      <c r="B293" s="681" t="str">
        <f t="shared" si="4"/>
        <v>TRAK-P.3</v>
      </c>
      <c r="C293" s="687" t="str">
        <f>'10'!G63</f>
        <v>Ne</v>
      </c>
    </row>
    <row r="294" spans="1:3" x14ac:dyDescent="0.3">
      <c r="A294" s="2" t="s">
        <v>762</v>
      </c>
      <c r="B294" s="681" t="str">
        <f t="shared" si="4"/>
        <v>TRAK-P.4</v>
      </c>
      <c r="C294" s="687" t="str">
        <f>'10'!G64</f>
        <v>Ne</v>
      </c>
    </row>
    <row r="295" spans="1:3" x14ac:dyDescent="0.3">
      <c r="A295" s="2" t="s">
        <v>763</v>
      </c>
      <c r="B295" s="681" t="str">
        <f t="shared" si="4"/>
        <v>TRAK-P.5</v>
      </c>
      <c r="C295" s="687" t="str">
        <f>'10'!G65</f>
        <v>Ne</v>
      </c>
    </row>
    <row r="296" spans="1:3" x14ac:dyDescent="0.3">
      <c r="A296" s="2" t="s">
        <v>764</v>
      </c>
      <c r="B296" s="681" t="str">
        <f t="shared" si="4"/>
        <v>TRAK-P.6</v>
      </c>
      <c r="C296" s="687" t="str">
        <f>'10'!G66</f>
        <v>Ne</v>
      </c>
    </row>
    <row r="297" spans="1:3" x14ac:dyDescent="0.3">
      <c r="A297" s="2" t="s">
        <v>765</v>
      </c>
      <c r="B297" s="681" t="str">
        <f t="shared" si="4"/>
        <v>TRAK-P.7</v>
      </c>
      <c r="C297" s="687" t="str">
        <f>'10'!G67</f>
        <v>Ne</v>
      </c>
    </row>
    <row r="298" spans="1:3" x14ac:dyDescent="0.3">
      <c r="A298" s="2" t="s">
        <v>766</v>
      </c>
      <c r="B298" s="681" t="str">
        <f t="shared" si="4"/>
        <v>TRAK-P.8</v>
      </c>
      <c r="C298" s="687" t="str">
        <f>'10'!G68</f>
        <v>Ne</v>
      </c>
    </row>
    <row r="299" spans="1:3" x14ac:dyDescent="0.3">
      <c r="A299" s="2" t="s">
        <v>767</v>
      </c>
      <c r="B299" s="681" t="str">
        <f t="shared" si="4"/>
        <v>TRAK-P.9</v>
      </c>
      <c r="C299" s="687" t="str">
        <f>'10'!G69</f>
        <v>Ne</v>
      </c>
    </row>
    <row r="300" spans="1:3" x14ac:dyDescent="0.3">
      <c r="A300" s="2" t="s">
        <v>768</v>
      </c>
      <c r="B300" s="683" t="str">
        <f t="shared" si="4"/>
        <v>TRAK-P.10</v>
      </c>
      <c r="C300" s="689" t="str">
        <f>'10'!G70</f>
        <v>Ne</v>
      </c>
    </row>
    <row r="301" spans="1:3" x14ac:dyDescent="0.3">
      <c r="A301" s="2" t="s">
        <v>769</v>
      </c>
      <c r="B301" s="675" t="str">
        <f t="shared" si="4"/>
        <v>F dalis. Pagal priemonę remiamų projektų pobūdis:</v>
      </c>
      <c r="C301" s="676"/>
    </row>
    <row r="302" spans="1:3" x14ac:dyDescent="0.3">
      <c r="A302" s="2" t="s">
        <v>770</v>
      </c>
      <c r="B302" s="671" t="str">
        <f t="shared" ref="B302:B311" si="5">B225</f>
        <v>Remiami pelno projektai</v>
      </c>
      <c r="C302" s="672" t="str">
        <f>'10'!G72</f>
        <v>Ne</v>
      </c>
    </row>
    <row r="303" spans="1:3" ht="57.6" x14ac:dyDescent="0.3">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Ne</v>
      </c>
    </row>
    <row r="304" spans="1:3" ht="57.6" x14ac:dyDescent="0.3">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Ne</v>
      </c>
    </row>
    <row r="305" spans="1:3" ht="43.2" x14ac:dyDescent="0.3">
      <c r="A305" s="2" t="s">
        <v>773</v>
      </c>
      <c r="B305" s="673" t="str">
        <f t="shared" si="5"/>
        <v>Remiami projektai, susiję su atsinaujinančios energijos gamybos pajėgumais, įskaitant biologinę (aktualu rodikliui L803)</v>
      </c>
      <c r="C305" s="672" t="str">
        <f>'10'!G75</f>
        <v>Ne</v>
      </c>
    </row>
    <row r="306" spans="1:3" ht="43.2" x14ac:dyDescent="0.3">
      <c r="A306" s="2" t="s">
        <v>774</v>
      </c>
      <c r="B306" s="673" t="str">
        <f t="shared" si="5"/>
        <v>Remiami projektai, prisidedantys prie aplinkos tvarumo, klimato kaitos švelninimo bei prisitaikymo prie jos tikslų įgyvendinimo kaimo vietovėse (aktualu rodikliui L804)</v>
      </c>
      <c r="C306" s="672" t="str">
        <f>'10'!G76</f>
        <v>Ne</v>
      </c>
    </row>
    <row r="307" spans="1:3" ht="28.8" x14ac:dyDescent="0.3">
      <c r="A307" s="2" t="s">
        <v>775</v>
      </c>
      <c r="B307" s="673" t="str">
        <f t="shared" si="5"/>
        <v>Remiami projektai, kurie kuria darbo vietas (aktualu rodikliui L805)</v>
      </c>
      <c r="C307" s="672" t="str">
        <f>'10'!G77</f>
        <v>Ne</v>
      </c>
    </row>
    <row r="308" spans="1:3" ht="28.8" x14ac:dyDescent="0.3">
      <c r="A308" s="2" t="s">
        <v>776</v>
      </c>
      <c r="B308" s="673" t="str">
        <f t="shared" si="5"/>
        <v>Remiami kaimo verslų, įskaitant bioekonomiką, projektai (aktualu rodikliui L 806)</v>
      </c>
      <c r="C308" s="672" t="str">
        <f>'10'!G78</f>
        <v>Ne</v>
      </c>
    </row>
    <row r="309" spans="1:3" ht="28.8" x14ac:dyDescent="0.3">
      <c r="A309" s="2" t="s">
        <v>777</v>
      </c>
      <c r="B309" s="673" t="str">
        <f t="shared" si="5"/>
        <v>Remiami projektai, susiję su sumanių kaimų strategijomis (aktualu rodikliui L807)</v>
      </c>
      <c r="C309" s="672" t="str">
        <f>'10'!G79</f>
        <v>Ne</v>
      </c>
    </row>
    <row r="310" spans="1:3" ht="28.8" x14ac:dyDescent="0.3">
      <c r="A310" s="2" t="s">
        <v>778</v>
      </c>
      <c r="B310" s="673" t="str">
        <f t="shared" si="5"/>
        <v>Remiami projektai, gerinantys paslaugų prieinamumą ir infrastruktūrą (aktualu rodikliui L808)</v>
      </c>
      <c r="C310" s="672" t="str">
        <f>'10'!G80</f>
        <v>Ne</v>
      </c>
    </row>
    <row r="311" spans="1:3" ht="28.8" x14ac:dyDescent="0.3">
      <c r="A311" s="2" t="s">
        <v>779</v>
      </c>
      <c r="B311" s="673" t="str">
        <f t="shared" si="5"/>
        <v>Remiami socialinės įtraukties projektai (aktualu rodikliui L809)</v>
      </c>
      <c r="C311" s="672" t="str">
        <f>'10'!G81</f>
        <v>Ne</v>
      </c>
    </row>
    <row r="312" spans="1:3" x14ac:dyDescent="0.3">
      <c r="B312" s="649"/>
      <c r="C312" s="685"/>
    </row>
    <row r="313" spans="1:3" x14ac:dyDescent="0.3">
      <c r="A313" s="1"/>
      <c r="B313" s="362"/>
      <c r="C313" s="686" t="str">
        <f>'10'!H6</f>
        <v>5 priemonė</v>
      </c>
    </row>
    <row r="314" spans="1:3" ht="28.8" x14ac:dyDescent="0.3">
      <c r="A314" s="2" t="s">
        <v>188</v>
      </c>
      <c r="B314" s="509" t="str">
        <f>B237</f>
        <v>Priemonės pavadinimas</v>
      </c>
      <c r="C314" s="670" t="str">
        <f>'10'!H7</f>
        <v>Skaitmeninių, informacinių, komunikacinių technologijų taikymas versle</v>
      </c>
    </row>
    <row r="315" spans="1:3" x14ac:dyDescent="0.3">
      <c r="A315" s="2" t="s">
        <v>189</v>
      </c>
      <c r="B315" s="671" t="str">
        <f t="shared" ref="B315:B378" si="6">B238</f>
        <v>Priemonės rūšis</v>
      </c>
      <c r="C315" s="670" t="str">
        <f>'10'!H8</f>
        <v>Žemės ūkio verslas</v>
      </c>
    </row>
    <row r="316" spans="1:3" x14ac:dyDescent="0.3">
      <c r="A316" s="2" t="s">
        <v>190</v>
      </c>
      <c r="B316" s="671" t="str">
        <f t="shared" si="6"/>
        <v>VVG teritorijos poreikių, kuriuos tenkina priemonė, skaičius</v>
      </c>
      <c r="C316" s="670">
        <f>'10'!H9</f>
        <v>3</v>
      </c>
    </row>
    <row r="317" spans="1:3" x14ac:dyDescent="0.3">
      <c r="A317" s="2" t="s">
        <v>191</v>
      </c>
      <c r="B317" s="671" t="str">
        <f t="shared" si="6"/>
        <v>BŽŪP tikslų, kuriuos įgyvendina priemonė, skaičius</v>
      </c>
      <c r="C317" s="670">
        <f>'10'!H10</f>
        <v>3</v>
      </c>
    </row>
    <row r="318" spans="1:3" ht="43.2" x14ac:dyDescent="0.3">
      <c r="A318" s="2" t="s">
        <v>192</v>
      </c>
      <c r="B318" s="671" t="str">
        <f t="shared" si="6"/>
        <v>Pagrindinis BŽŪP tikslas, kurį įgyvendina VPS priemonė</v>
      </c>
      <c r="C318" s="672" t="str">
        <f>'10'!H11</f>
        <v>XCO. Modernizuoti sektorių skatinant žemės ūkio ir kaimo vietovių žinias, inovacijas ir skaitmeninimą bei dalijimąsi jomis, taip pat skatinant jų diegimą</v>
      </c>
    </row>
    <row r="319" spans="1:3" ht="28.8" x14ac:dyDescent="0.3">
      <c r="A319" s="2" t="s">
        <v>193</v>
      </c>
      <c r="B319" s="673" t="str">
        <f t="shared" si="6"/>
        <v>Ar priemonė prisideda prie 4 konkretaus BŽŪP tikslo? (tikslas nurodytas 5 lape)</v>
      </c>
      <c r="C319" s="672" t="str">
        <f>'10'!H12</f>
        <v>Ne</v>
      </c>
    </row>
    <row r="320" spans="1:3" ht="28.8" x14ac:dyDescent="0.3">
      <c r="A320" s="2" t="s">
        <v>194</v>
      </c>
      <c r="B320" s="673" t="str">
        <f t="shared" si="6"/>
        <v>Ar priemonė prisideda prie 5 konkretaus BŽŪP tikslo? (tikslas nurodytas 5 lape)</v>
      </c>
      <c r="C320" s="672" t="str">
        <f>'10'!H13</f>
        <v>Ne</v>
      </c>
    </row>
    <row r="321" spans="1:3" ht="28.8" x14ac:dyDescent="0.3">
      <c r="A321" s="2" t="s">
        <v>195</v>
      </c>
      <c r="B321" s="673" t="str">
        <f t="shared" si="6"/>
        <v>Ar priemonė prisideda prie 6 konkretaus BŽŪP tikslo? (tikslas nurodytas 5 lape)</v>
      </c>
      <c r="C321" s="672" t="str">
        <f>'10'!H14</f>
        <v>Ne</v>
      </c>
    </row>
    <row r="322" spans="1:3" ht="28.8" x14ac:dyDescent="0.3">
      <c r="A322" s="2" t="s">
        <v>196</v>
      </c>
      <c r="B322" s="673" t="str">
        <f t="shared" si="6"/>
        <v>Ar priemonė prisideda prie 9 konkretaus BŽŪP tikslo? (tikslas nurodytas 5 lape)</v>
      </c>
      <c r="C322" s="672" t="str">
        <f>'10'!H15</f>
        <v>Ne</v>
      </c>
    </row>
    <row r="323" spans="1:3" x14ac:dyDescent="0.3">
      <c r="A323" s="2" t="s">
        <v>94</v>
      </c>
      <c r="B323" s="675" t="str">
        <f t="shared" si="6"/>
        <v>A dalis. Priemonės intervencijos logika:</v>
      </c>
      <c r="C323" s="676"/>
    </row>
    <row r="324" spans="1:3" ht="158.4" x14ac:dyDescent="0.3">
      <c r="A324" s="2" t="s">
        <v>197</v>
      </c>
      <c r="B324" s="673" t="str">
        <f t="shared" si="6"/>
        <v>Priemonės tikslas, ryšys su pagrindiniu BŽŪP tikslu ir VVG teritorijos poreikiais (problemomis ir (arba) potencialu), ryšys su VPS tema (jei taikoma)</v>
      </c>
      <c r="C324" s="677" t="str">
        <f>'10'!H17</f>
        <v xml:space="preserve">Tikslas – skatinti gyventojų užimtumą, bei naujų technologijų ir skaitmeninimo procesų diegimą ūkių veikloje, skatinant inovatyvių ir tvarių sprendimų diegimą, užtikrinant išmanųjį ūkininkavimą, našumo žemės ūkyje didinimą bei tvarią plėtrą. Priemone siekiama prisidėti prie žemės ūkio modernizavimo ir skaitmeninimo, skatinant  aplinką tausojančių sprendimų diegimą, ekologinį ūkininkavimą, bitininkystę , vaistažolių  auginimą VVG teritorijoje. Priemone prisidedama prie kompleksinio tikslo XCO įgyvendinimo,   prie BŽŪP R.37,  R.39 rodiklių įgyvendinimo.  Bus patenkintas 2 VPS poreikis. </v>
      </c>
    </row>
    <row r="325" spans="1:3" ht="57.6" x14ac:dyDescent="0.3">
      <c r="A325" s="2" t="s">
        <v>198</v>
      </c>
      <c r="B325" s="671" t="str">
        <f t="shared" si="6"/>
        <v>Pokytis, kurio siekiama VPS priemone</v>
      </c>
      <c r="C325" s="677" t="str">
        <f>'10'!H18</f>
        <v>Paskatintas  naujų technologijų ir skaitmeninimo procesų diegimas ūkių veikloje,  inovatyvių ir tvarių sprendimų diegimas, užtikrinant išmanųjį ūkininkavimą, našumo žemės ūkyje didinimą bei tvarią plėtrą.</v>
      </c>
    </row>
    <row r="326" spans="1:3" ht="28.8" x14ac:dyDescent="0.3">
      <c r="A326" s="2" t="s">
        <v>199</v>
      </c>
      <c r="B326" s="509" t="str">
        <f t="shared" si="6"/>
        <v>Kaip priemonė prisidės prie horizontalaus tikslo d įgyvendinimo? (pildoma, jei taikoma)</v>
      </c>
      <c r="C326" s="677">
        <f>'10'!H19</f>
        <v>0</v>
      </c>
    </row>
    <row r="327" spans="1:3" ht="28.8" x14ac:dyDescent="0.3">
      <c r="A327" s="2" t="s">
        <v>200</v>
      </c>
      <c r="B327" s="509" t="str">
        <f t="shared" si="6"/>
        <v>Kaip priemonė prisidės prie horizontalaus tikslo e įgyvendinimo? (pildoma, jei taikoma)</v>
      </c>
      <c r="C327" s="677">
        <f>'10'!H20</f>
        <v>0</v>
      </c>
    </row>
    <row r="328" spans="1:3" ht="28.8" x14ac:dyDescent="0.3">
      <c r="A328" s="2" t="s">
        <v>201</v>
      </c>
      <c r="B328" s="509" t="str">
        <f t="shared" si="6"/>
        <v>Kaip priemonė prisidės prie horizontalaus tikslo f įgyvendinimo? (pildoma, jei taikoma)</v>
      </c>
      <c r="C328" s="677" t="str">
        <f>'10'!H21</f>
        <v xml:space="preserve">Netaikoma </v>
      </c>
    </row>
    <row r="329" spans="1:3" ht="28.8" x14ac:dyDescent="0.3">
      <c r="A329" s="2" t="s">
        <v>202</v>
      </c>
      <c r="B329" s="509" t="str">
        <f t="shared" si="6"/>
        <v>Kaip priemonė prisidės prie horizontalaus tikslo i įgyvendinimo? (pildoma, jei taikoma)</v>
      </c>
      <c r="C329" s="677" t="str">
        <f>'10'!H22</f>
        <v xml:space="preserve">Netaikoma </v>
      </c>
    </row>
    <row r="330" spans="1:3" ht="28.8" x14ac:dyDescent="0.3">
      <c r="A330" s="2" t="s">
        <v>203</v>
      </c>
      <c r="B330" s="675" t="str">
        <f t="shared" si="6"/>
        <v>B dalis. Pareiškėjų ir projektų tinkamumo sąlygos, projektų atrankos principai:</v>
      </c>
      <c r="C330" s="676"/>
    </row>
    <row r="331" spans="1:3" ht="72" x14ac:dyDescent="0.3">
      <c r="A331" s="2" t="s">
        <v>204</v>
      </c>
      <c r="B331" s="509" t="str">
        <f t="shared" si="6"/>
        <v>Pagal priemonę remiamos veiklos</v>
      </c>
      <c r="C331" s="677" t="str">
        <f>'10'!H24</f>
        <v>Pagal priemonę gali būti pasirenkamos viena arba kelios remtinos ekonominės veiklos, susijusios su skaitmeninių, informacinių komunikacinių technologijų taikymu versle.  Remiama: AEI, skaitmeninių, kitų pažangių sprendimų diegimas; įrangos įsigijimas; paslaugų įsigijimas.</v>
      </c>
    </row>
    <row r="332" spans="1:3" ht="28.8" x14ac:dyDescent="0.3">
      <c r="A332" s="2" t="s">
        <v>205</v>
      </c>
      <c r="B332" s="671" t="str">
        <f t="shared" si="6"/>
        <v>Tinkami pareiškėjai ir partneriai (jei taikomas reikalavimas projektus įgyvendinti su partneriais)</v>
      </c>
      <c r="C332" s="677" t="str">
        <f>'10'!H25</f>
        <v>Fiziniai ir juridiniai asmenys: ūkininkas ar kitas fizinis asmuo, labai maža įmonė, maža įmonė.</v>
      </c>
    </row>
    <row r="333" spans="1:3" ht="28.8" x14ac:dyDescent="0.3">
      <c r="A333" s="2" t="s">
        <v>206</v>
      </c>
      <c r="B333" s="671" t="str">
        <f t="shared" si="6"/>
        <v>Priemonės tikslinė grupė (pildoma, jei nesutampa su tinkamais pareiškėjais ir (arba) partneriais)</v>
      </c>
      <c r="C333" s="677" t="str">
        <f>'10'!H26</f>
        <v>Žemės ūkio bendrovių, ūkininkų, mažojo ir smulkiojo verslo atstovai.</v>
      </c>
    </row>
    <row r="334" spans="1:3" ht="28.8" x14ac:dyDescent="0.3">
      <c r="A334" s="2" t="s">
        <v>725</v>
      </c>
      <c r="B334" s="509" t="str">
        <f t="shared" si="6"/>
        <v>Tinkamumo sąlygos pareiškėjams ir projektams</v>
      </c>
      <c r="C334" s="677" t="str">
        <f>'10'!H27</f>
        <v xml:space="preserve">Tinkamumo sąlygos pareiškėjams  ir  vietos projektams bus nurodytos Vietos projektų administravimo taisyklėse. </v>
      </c>
    </row>
    <row r="335" spans="1:3" ht="72" x14ac:dyDescent="0.3">
      <c r="A335" s="2" t="s">
        <v>726</v>
      </c>
      <c r="B335" s="673" t="str">
        <f t="shared" si="6"/>
        <v>Projektų atrankos principai</v>
      </c>
      <c r="C335" s="677" t="str">
        <f>'10'!H28</f>
        <v>1.	Sukuriama (-os) darbo vieta (-os) asmeniui (-ims) iki 40 metų imtinai 
      2. Kuriamas žemės ūkio verslas 
Detalus atrankos kriterijų sąrašas bus nustatomas priemonės įgyvendinimo taisyklėse</v>
      </c>
    </row>
    <row r="336" spans="1:3" x14ac:dyDescent="0.3">
      <c r="A336" s="2" t="s">
        <v>727</v>
      </c>
      <c r="B336" s="509" t="str">
        <f t="shared" si="6"/>
        <v>Planuojamų kvietimų teikti paraiškas skaičius</v>
      </c>
      <c r="C336" s="670">
        <f>'10'!H29</f>
        <v>2</v>
      </c>
    </row>
    <row r="337" spans="1:3" x14ac:dyDescent="0.3">
      <c r="A337" s="2" t="s">
        <v>728</v>
      </c>
      <c r="B337" s="651" t="str">
        <f t="shared" si="6"/>
        <v>C dalis. Paramos dydžiai:</v>
      </c>
      <c r="C337" s="676"/>
    </row>
    <row r="338" spans="1:3" x14ac:dyDescent="0.3">
      <c r="A338" s="2" t="s">
        <v>729</v>
      </c>
      <c r="B338" s="509" t="str">
        <f t="shared" si="6"/>
        <v>Didžiausia paramos suma vietos projektui, Eur</v>
      </c>
      <c r="C338" s="677">
        <f>'10'!H31</f>
        <v>70000</v>
      </c>
    </row>
    <row r="339" spans="1:3" x14ac:dyDescent="0.3">
      <c r="A339" s="2" t="s">
        <v>730</v>
      </c>
      <c r="B339" s="509" t="str">
        <f t="shared" si="6"/>
        <v xml:space="preserve">Paramos lyginamoji dalis, proc. </v>
      </c>
      <c r="C339" s="677" t="str">
        <f>'10'!H32</f>
        <v>iki 65</v>
      </c>
    </row>
    <row r="340" spans="1:3" x14ac:dyDescent="0.3">
      <c r="A340" s="2" t="s">
        <v>731</v>
      </c>
      <c r="B340" s="509" t="str">
        <f t="shared" si="6"/>
        <v>Planuojama paramos suma priemonei, Eur</v>
      </c>
      <c r="C340" s="678">
        <f>'10'!H33</f>
        <v>140000</v>
      </c>
    </row>
    <row r="341" spans="1:3" x14ac:dyDescent="0.3">
      <c r="A341" s="2" t="s">
        <v>732</v>
      </c>
      <c r="B341" s="509" t="str">
        <f t="shared" si="6"/>
        <v>Planuojama paremti projektų (rodiklis L700)</v>
      </c>
      <c r="C341" s="679">
        <f>'10'!H34</f>
        <v>2</v>
      </c>
    </row>
    <row r="342" spans="1:3" ht="43.2" x14ac:dyDescent="0.3">
      <c r="A342" s="2" t="s">
        <v>733</v>
      </c>
      <c r="B342" s="509" t="str">
        <f t="shared" si="6"/>
        <v>Paaiškinimas, kaip nustatyta rodiklio L700 reikšmė</v>
      </c>
      <c r="C342" s="677" t="str">
        <f>'10'!H35</f>
        <v xml:space="preserve">Pagal priemonę planuojamų paremti projektų skaičius apskaičiuotas pagal poreikį, vieno projekto suma paskaičiuota be investicijų į infrastruktūrą.  </v>
      </c>
    </row>
    <row r="343" spans="1:3" ht="28.8" x14ac:dyDescent="0.3">
      <c r="A343" s="2" t="s">
        <v>734</v>
      </c>
      <c r="B343" s="651" t="str">
        <f t="shared" si="6"/>
        <v>D dalis. Priemonės indėlis į ES ir nacionalinių horizontaliųjų principų įgyvendinimą:</v>
      </c>
      <c r="C343" s="676"/>
    </row>
    <row r="344" spans="1:3" x14ac:dyDescent="0.3">
      <c r="A344" s="2" t="s">
        <v>735</v>
      </c>
      <c r="B344" s="680" t="str">
        <f t="shared" si="6"/>
        <v>Subregioninės vietovės principas:</v>
      </c>
      <c r="C344" s="676"/>
    </row>
    <row r="345" spans="1:3" ht="28.8" x14ac:dyDescent="0.3">
      <c r="A345" s="2" t="s">
        <v>736</v>
      </c>
      <c r="B345" s="509" t="str">
        <f t="shared" si="6"/>
        <v>Ar siekiama, kad pagal priemonę finansuojami projektai apimtų visas VVG teritorijos seniūnijas?</v>
      </c>
      <c r="C345" s="672" t="str">
        <f>'10'!H38</f>
        <v>Ne</v>
      </c>
    </row>
    <row r="346" spans="1:3" ht="57.6" x14ac:dyDescent="0.3">
      <c r="A346" s="2" t="s">
        <v>737</v>
      </c>
      <c r="B346" s="509" t="str">
        <f t="shared" si="6"/>
        <v>Pasirinkimo pagrindimas</v>
      </c>
      <c r="C346" s="677" t="str">
        <f>'10'!H39</f>
        <v>Atsižvelgiant į suplanuotą priemonei lėšų sumą ir planuojamą finansuoti projektų skaičių, nerealu, kad  projekto veiklos apimtų visas 8 seniūnijas, tačiau veiklos vykdymo, paslaugų teikimas gali apimti visą VVG teritoriją.</v>
      </c>
    </row>
    <row r="347" spans="1:3" x14ac:dyDescent="0.3">
      <c r="A347" s="2" t="s">
        <v>738</v>
      </c>
      <c r="B347" s="680" t="str">
        <f t="shared" si="6"/>
        <v>Partnerystės principas:</v>
      </c>
      <c r="C347" s="676"/>
    </row>
    <row r="348" spans="1:3" ht="28.8" x14ac:dyDescent="0.3">
      <c r="A348" s="2" t="s">
        <v>739</v>
      </c>
      <c r="B348" s="509" t="str">
        <f t="shared" si="6"/>
        <v>Ar siekiama, kad pagal priemonę finansuojami projektai būtų vykdomi su partneriais?</v>
      </c>
      <c r="C348" s="672" t="str">
        <f>'10'!H41</f>
        <v>Taip, pasirinktinai</v>
      </c>
    </row>
    <row r="349" spans="1:3" x14ac:dyDescent="0.3">
      <c r="A349" s="2" t="s">
        <v>740</v>
      </c>
      <c r="B349" s="509" t="str">
        <f t="shared" si="6"/>
        <v>Pasirinkimo pagrindimas</v>
      </c>
      <c r="C349" s="677" t="str">
        <f>'10'!H42</f>
        <v>Reikalavimas bus taikomas kaip tinkamumo sąlyga.</v>
      </c>
    </row>
    <row r="350" spans="1:3" x14ac:dyDescent="0.3">
      <c r="A350" s="2" t="s">
        <v>741</v>
      </c>
      <c r="B350" s="680" t="str">
        <f t="shared" si="6"/>
        <v>Inovacijų principas:</v>
      </c>
      <c r="C350" s="676"/>
    </row>
    <row r="351" spans="1:3" ht="28.8" x14ac:dyDescent="0.3">
      <c r="A351" s="2" t="s">
        <v>742</v>
      </c>
      <c r="B351" s="509" t="str">
        <f t="shared" si="6"/>
        <v>Ar siekiama, kad pagal priemonę finansuojami projektai būtų skirti inovacijoms vietos lygiu diegti?</v>
      </c>
      <c r="C351" s="672" t="str">
        <f>'10'!H44</f>
        <v>Taip, privalomai</v>
      </c>
    </row>
    <row r="352" spans="1:3" x14ac:dyDescent="0.3">
      <c r="A352" s="2" t="s">
        <v>743</v>
      </c>
      <c r="B352" s="509" t="str">
        <f t="shared" si="6"/>
        <v>Pasirinkimo pagrindimas</v>
      </c>
      <c r="C352" s="677" t="str">
        <f>'10'!H45</f>
        <v>Reikalavimas bus taikomas kaip tinkamumo sąlyga.</v>
      </c>
    </row>
    <row r="353" spans="1:3" ht="28.8" x14ac:dyDescent="0.3">
      <c r="A353" s="2" t="s">
        <v>744</v>
      </c>
      <c r="B353" s="509" t="str">
        <f t="shared" si="6"/>
        <v>Planuojama paremti projektų, skirtų inovacijoms vietos lygiu diegti (rodiklis L710)</v>
      </c>
      <c r="C353" s="679">
        <f>'10'!H46</f>
        <v>0</v>
      </c>
    </row>
    <row r="354" spans="1:3" x14ac:dyDescent="0.3">
      <c r="A354" s="2" t="s">
        <v>745</v>
      </c>
      <c r="B354" s="680" t="str">
        <f t="shared" si="6"/>
        <v>Lyčių lygybė ir nediskriminavimas:</v>
      </c>
      <c r="C354" s="676"/>
    </row>
    <row r="355" spans="1:3" ht="28.8" x14ac:dyDescent="0.3">
      <c r="A355" s="2" t="s">
        <v>746</v>
      </c>
      <c r="B355" s="509" t="str">
        <f t="shared" si="6"/>
        <v>Ar pagal priemonę finansuojami projektai, skirti lyčių lygybei ir nediskriminavimui?</v>
      </c>
      <c r="C355" s="672" t="str">
        <f>'10'!H48</f>
        <v>Taip</v>
      </c>
    </row>
    <row r="356" spans="1:3" ht="72" x14ac:dyDescent="0.3">
      <c r="A356" s="2" t="s">
        <v>747</v>
      </c>
      <c r="B356" s="509" t="str">
        <f t="shared" si="6"/>
        <v>Pasirinkimo pagrindimas (jei taip, kaip bus užtikrinta)</v>
      </c>
      <c r="C356" s="677" t="str">
        <f>'10'!H49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357" spans="1:3" x14ac:dyDescent="0.3">
      <c r="A357" s="2" t="s">
        <v>748</v>
      </c>
      <c r="B357" s="680" t="str">
        <f t="shared" si="6"/>
        <v>Jaunimas:</v>
      </c>
      <c r="C357" s="676"/>
    </row>
    <row r="358" spans="1:3" x14ac:dyDescent="0.3">
      <c r="A358" s="2" t="s">
        <v>749</v>
      </c>
      <c r="B358" s="509" t="str">
        <f t="shared" si="6"/>
        <v>Ar pagal priemonę finansuojami projektai, skirti jaunimui?</v>
      </c>
      <c r="C358" s="672" t="str">
        <f>'10'!H51</f>
        <v>Taip</v>
      </c>
    </row>
    <row r="359" spans="1:3" ht="43.2" x14ac:dyDescent="0.3">
      <c r="A359" s="2" t="s">
        <v>750</v>
      </c>
      <c r="B359" s="509" t="str">
        <f t="shared" si="6"/>
        <v>Pasirinkimo pagrindimas (jei taip, kaip bus užtikrinta)</v>
      </c>
      <c r="C359" s="677" t="str">
        <f>'10'!H52</f>
        <v>Dalyvauti projektinėse veiklose ir juos teikti bus sudarytos vienodos sąlygos visiems, netaikant pozityvios diskriminacijos pagal amžių.</v>
      </c>
    </row>
    <row r="360" spans="1:3" x14ac:dyDescent="0.3">
      <c r="A360" s="2" t="s">
        <v>751</v>
      </c>
      <c r="B360" s="675" t="str">
        <f t="shared" si="6"/>
        <v>E dalis. Priemonės rezultato rodikliai:</v>
      </c>
      <c r="C360" s="676"/>
    </row>
    <row r="361" spans="1:3" x14ac:dyDescent="0.3">
      <c r="A361" s="2" t="s">
        <v>752</v>
      </c>
      <c r="B361" s="680" t="str">
        <f t="shared" si="6"/>
        <v>SP rezultato rodiklių taikymas priemonei:</v>
      </c>
      <c r="C361" s="676"/>
    </row>
    <row r="362" spans="1:3" x14ac:dyDescent="0.3">
      <c r="A362" s="2" t="s">
        <v>753</v>
      </c>
      <c r="B362" s="681" t="str">
        <f t="shared" si="6"/>
        <v>R.3</v>
      </c>
      <c r="C362" s="687" t="str">
        <f>'10'!H55</f>
        <v>Taip</v>
      </c>
    </row>
    <row r="363" spans="1:3" x14ac:dyDescent="0.3">
      <c r="A363" s="2" t="s">
        <v>754</v>
      </c>
      <c r="B363" s="681" t="str">
        <f t="shared" si="6"/>
        <v>R.37</v>
      </c>
      <c r="C363" s="687" t="str">
        <f>'10'!H56</f>
        <v>Taip</v>
      </c>
    </row>
    <row r="364" spans="1:3" x14ac:dyDescent="0.3">
      <c r="A364" s="2" t="s">
        <v>755</v>
      </c>
      <c r="B364" s="681" t="str">
        <f t="shared" si="6"/>
        <v>R.39</v>
      </c>
      <c r="C364" s="687" t="str">
        <f>'10'!H57</f>
        <v>Taip</v>
      </c>
    </row>
    <row r="365" spans="1:3" x14ac:dyDescent="0.3">
      <c r="A365" s="2" t="s">
        <v>756</v>
      </c>
      <c r="B365" s="681" t="str">
        <f t="shared" si="6"/>
        <v>R.41</v>
      </c>
      <c r="C365" s="687" t="str">
        <f>'10'!H58</f>
        <v>Ne</v>
      </c>
    </row>
    <row r="366" spans="1:3" x14ac:dyDescent="0.3">
      <c r="A366" s="2" t="s">
        <v>757</v>
      </c>
      <c r="B366" s="681" t="str">
        <f t="shared" si="6"/>
        <v>R.42</v>
      </c>
      <c r="C366" s="687" t="str">
        <f>'10'!H59</f>
        <v>Ne</v>
      </c>
    </row>
    <row r="367" spans="1:3" x14ac:dyDescent="0.3">
      <c r="A367" s="2" t="s">
        <v>758</v>
      </c>
      <c r="B367" s="680" t="str">
        <f t="shared" si="6"/>
        <v>VPS rodiklių taikymas priemonei:</v>
      </c>
      <c r="C367" s="688"/>
    </row>
    <row r="368" spans="1:3" x14ac:dyDescent="0.3">
      <c r="A368" s="2" t="s">
        <v>759</v>
      </c>
      <c r="B368" s="681" t="str">
        <f t="shared" si="6"/>
        <v>TRAK-P.1</v>
      </c>
      <c r="C368" s="687" t="str">
        <f>'10'!H61</f>
        <v>Ne</v>
      </c>
    </row>
    <row r="369" spans="1:3" x14ac:dyDescent="0.3">
      <c r="A369" s="2" t="s">
        <v>760</v>
      </c>
      <c r="B369" s="681" t="str">
        <f t="shared" si="6"/>
        <v>TRAK-P.2</v>
      </c>
      <c r="C369" s="687" t="str">
        <f>'10'!H62</f>
        <v>Ne</v>
      </c>
    </row>
    <row r="370" spans="1:3" x14ac:dyDescent="0.3">
      <c r="A370" s="2" t="s">
        <v>761</v>
      </c>
      <c r="B370" s="681" t="str">
        <f t="shared" si="6"/>
        <v>TRAK-P.3</v>
      </c>
      <c r="C370" s="687" t="str">
        <f>'10'!H63</f>
        <v>Ne</v>
      </c>
    </row>
    <row r="371" spans="1:3" x14ac:dyDescent="0.3">
      <c r="A371" s="2" t="s">
        <v>762</v>
      </c>
      <c r="B371" s="681" t="str">
        <f t="shared" si="6"/>
        <v>TRAK-P.4</v>
      </c>
      <c r="C371" s="687" t="str">
        <f>'10'!H64</f>
        <v>Ne</v>
      </c>
    </row>
    <row r="372" spans="1:3" x14ac:dyDescent="0.3">
      <c r="A372" s="2" t="s">
        <v>763</v>
      </c>
      <c r="B372" s="681" t="str">
        <f t="shared" si="6"/>
        <v>TRAK-P.5</v>
      </c>
      <c r="C372" s="687" t="str">
        <f>'10'!H65</f>
        <v>Ne</v>
      </c>
    </row>
    <row r="373" spans="1:3" x14ac:dyDescent="0.3">
      <c r="A373" s="2" t="s">
        <v>764</v>
      </c>
      <c r="B373" s="681" t="str">
        <f t="shared" si="6"/>
        <v>TRAK-P.6</v>
      </c>
      <c r="C373" s="687" t="str">
        <f>'10'!H66</f>
        <v>Ne</v>
      </c>
    </row>
    <row r="374" spans="1:3" x14ac:dyDescent="0.3">
      <c r="A374" s="2" t="s">
        <v>765</v>
      </c>
      <c r="B374" s="681" t="str">
        <f t="shared" si="6"/>
        <v>TRAK-P.7</v>
      </c>
      <c r="C374" s="687" t="str">
        <f>'10'!H67</f>
        <v>Ne</v>
      </c>
    </row>
    <row r="375" spans="1:3" x14ac:dyDescent="0.3">
      <c r="A375" s="2" t="s">
        <v>766</v>
      </c>
      <c r="B375" s="681" t="str">
        <f t="shared" si="6"/>
        <v>TRAK-P.8</v>
      </c>
      <c r="C375" s="687" t="str">
        <f>'10'!H68</f>
        <v>Ne</v>
      </c>
    </row>
    <row r="376" spans="1:3" x14ac:dyDescent="0.3">
      <c r="A376" s="2" t="s">
        <v>767</v>
      </c>
      <c r="B376" s="681" t="str">
        <f t="shared" si="6"/>
        <v>TRAK-P.9</v>
      </c>
      <c r="C376" s="687" t="str">
        <f>'10'!H69</f>
        <v>Ne</v>
      </c>
    </row>
    <row r="377" spans="1:3" x14ac:dyDescent="0.3">
      <c r="A377" s="2" t="s">
        <v>768</v>
      </c>
      <c r="B377" s="683" t="str">
        <f t="shared" si="6"/>
        <v>TRAK-P.10</v>
      </c>
      <c r="C377" s="689" t="str">
        <f>'10'!H70</f>
        <v>Ne</v>
      </c>
    </row>
    <row r="378" spans="1:3" x14ac:dyDescent="0.3">
      <c r="A378" s="2" t="s">
        <v>769</v>
      </c>
      <c r="B378" s="675" t="str">
        <f t="shared" si="6"/>
        <v>F dalis. Pagal priemonę remiamų projektų pobūdis:</v>
      </c>
      <c r="C378" s="676"/>
    </row>
    <row r="379" spans="1:3" x14ac:dyDescent="0.3">
      <c r="A379" s="2" t="s">
        <v>770</v>
      </c>
      <c r="B379" s="671" t="str">
        <f t="shared" ref="B379:B388" si="7">B302</f>
        <v>Remiami pelno projektai</v>
      </c>
      <c r="C379" s="672" t="s">
        <v>77</v>
      </c>
    </row>
    <row r="380" spans="1:3" ht="57.6" x14ac:dyDescent="0.3">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Ne</v>
      </c>
    </row>
    <row r="381" spans="1:3" ht="57.6" x14ac:dyDescent="0.3">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Ne</v>
      </c>
    </row>
    <row r="382" spans="1:3" ht="43.2" x14ac:dyDescent="0.3">
      <c r="A382" s="2" t="s">
        <v>773</v>
      </c>
      <c r="B382" s="673" t="str">
        <f t="shared" si="7"/>
        <v>Remiami projektai, susiję su atsinaujinančios energijos gamybos pajėgumais, įskaitant biologinę (aktualu rodikliui L803)</v>
      </c>
      <c r="C382" s="672" t="str">
        <f>'10'!H75</f>
        <v>Ne</v>
      </c>
    </row>
    <row r="383" spans="1:3" ht="43.2" x14ac:dyDescent="0.3">
      <c r="A383" s="2" t="s">
        <v>774</v>
      </c>
      <c r="B383" s="673" t="str">
        <f t="shared" si="7"/>
        <v>Remiami projektai, prisidedantys prie aplinkos tvarumo, klimato kaitos švelninimo bei prisitaikymo prie jos tikslų įgyvendinimo kaimo vietovėse (aktualu rodikliui L804)</v>
      </c>
      <c r="C383" s="672" t="str">
        <f>'10'!H76</f>
        <v>Ne</v>
      </c>
    </row>
    <row r="384" spans="1:3" ht="28.8" x14ac:dyDescent="0.3">
      <c r="A384" s="2" t="s">
        <v>775</v>
      </c>
      <c r="B384" s="673" t="str">
        <f t="shared" si="7"/>
        <v>Remiami projektai, kurie kuria darbo vietas (aktualu rodikliui L805)</v>
      </c>
      <c r="C384" s="672" t="str">
        <f>'10'!H77</f>
        <v>Taip</v>
      </c>
    </row>
    <row r="385" spans="1:3" ht="28.8" x14ac:dyDescent="0.3">
      <c r="A385" s="2" t="s">
        <v>776</v>
      </c>
      <c r="B385" s="673" t="str">
        <f t="shared" si="7"/>
        <v>Remiami kaimo verslų, įskaitant bioekonomiką, projektai (aktualu rodikliui L 806)</v>
      </c>
      <c r="C385" s="672" t="str">
        <f>'10'!H78</f>
        <v>Ne</v>
      </c>
    </row>
    <row r="386" spans="1:3" ht="28.8" x14ac:dyDescent="0.3">
      <c r="A386" s="2" t="s">
        <v>777</v>
      </c>
      <c r="B386" s="673" t="str">
        <f t="shared" si="7"/>
        <v>Remiami projektai, susiję su sumanių kaimų strategijomis (aktualu rodikliui L807)</v>
      </c>
      <c r="C386" s="672" t="str">
        <f>'10'!H79</f>
        <v>Ne</v>
      </c>
    </row>
    <row r="387" spans="1:3" ht="28.8" x14ac:dyDescent="0.3">
      <c r="A387" s="2" t="s">
        <v>778</v>
      </c>
      <c r="B387" s="673" t="str">
        <f t="shared" si="7"/>
        <v>Remiami projektai, gerinantys paslaugų prieinamumą ir infrastruktūrą (aktualu rodikliui L808)</v>
      </c>
      <c r="C387" s="672" t="str">
        <f>'10'!H80</f>
        <v>Ne</v>
      </c>
    </row>
    <row r="388" spans="1:3" ht="28.8" x14ac:dyDescent="0.3">
      <c r="A388" s="2" t="s">
        <v>779</v>
      </c>
      <c r="B388" s="673" t="str">
        <f t="shared" si="7"/>
        <v>Remiami socialinės įtraukties projektai (aktualu rodikliui L809)</v>
      </c>
      <c r="C388" s="672" t="str">
        <f>'10'!H81</f>
        <v>Ne</v>
      </c>
    </row>
    <row r="389" spans="1:3" x14ac:dyDescent="0.3">
      <c r="B389" s="649"/>
      <c r="C389" s="685"/>
    </row>
    <row r="390" spans="1:3" x14ac:dyDescent="0.3">
      <c r="A390" s="1"/>
      <c r="B390" s="362"/>
      <c r="C390" s="686" t="str">
        <f>'10'!I6</f>
        <v>6 priemonė</v>
      </c>
    </row>
    <row r="391" spans="1:3" ht="28.8" x14ac:dyDescent="0.3">
      <c r="A391" s="2" t="s">
        <v>188</v>
      </c>
      <c r="B391" s="509" t="str">
        <f>B314</f>
        <v>Priemonės pavadinimas</v>
      </c>
      <c r="C391" s="670" t="str">
        <f>'10'!I7</f>
        <v>Vietos produktų /paslaugų kūrimas ir (ar) populiarinimas taikant inovacijas</v>
      </c>
    </row>
    <row r="392" spans="1:3" ht="28.8" x14ac:dyDescent="0.3">
      <c r="A392" s="2" t="s">
        <v>189</v>
      </c>
      <c r="B392" s="671" t="str">
        <f t="shared" ref="B392:B455" si="8">B315</f>
        <v>Priemonės rūšis</v>
      </c>
      <c r="C392" s="670" t="str">
        <f>'10'!I8</f>
        <v>Ūkio subjektų (fizinių ir (arba) juridinių asmenų) bendradarbiavimas</v>
      </c>
    </row>
    <row r="393" spans="1:3" x14ac:dyDescent="0.3">
      <c r="A393" s="2" t="s">
        <v>190</v>
      </c>
      <c r="B393" s="671" t="str">
        <f t="shared" si="8"/>
        <v>VVG teritorijos poreikių, kuriuos tenkina priemonė, skaičius</v>
      </c>
      <c r="C393" s="670">
        <f>'10'!I9</f>
        <v>3</v>
      </c>
    </row>
    <row r="394" spans="1:3" x14ac:dyDescent="0.3">
      <c r="A394" s="2" t="s">
        <v>191</v>
      </c>
      <c r="B394" s="671" t="str">
        <f t="shared" si="8"/>
        <v>BŽŪP tikslų, kuriuos įgyvendina priemonė, skaičius</v>
      </c>
      <c r="C394" s="670">
        <f>'10'!I10</f>
        <v>3</v>
      </c>
    </row>
    <row r="395" spans="1:3" ht="57.6" x14ac:dyDescent="0.3">
      <c r="A395" s="2" t="s">
        <v>192</v>
      </c>
      <c r="B395" s="671" t="str">
        <f t="shared" si="8"/>
        <v>Pagrindinis BŽŪP tikslas, kurį įgyvendina VPS priemonė</v>
      </c>
      <c r="C395" s="672" t="str">
        <f>'10'!I11</f>
        <v>SO9. Gerinti Sąjungos žemės ūkio atsaką į visuomenės poreikius, susijusius su maistu ir sveikata, mažinti maisto atliekų kiekį, gerinti gyvūnų gerovę ir kovoti su atsparumu antimikrobinėms medžiagoms</v>
      </c>
    </row>
    <row r="396" spans="1:3" ht="28.8" x14ac:dyDescent="0.3">
      <c r="A396" s="2" t="s">
        <v>193</v>
      </c>
      <c r="B396" s="673" t="str">
        <f t="shared" si="8"/>
        <v>Ar priemonė prisideda prie 4 konkretaus BŽŪP tikslo? (tikslas nurodytas 5 lape)</v>
      </c>
      <c r="C396" s="672" t="str">
        <f>'10'!I12</f>
        <v>Ne</v>
      </c>
    </row>
    <row r="397" spans="1:3" ht="28.8" x14ac:dyDescent="0.3">
      <c r="A397" s="2" t="s">
        <v>194</v>
      </c>
      <c r="B397" s="673" t="str">
        <f t="shared" si="8"/>
        <v>Ar priemonė prisideda prie 5 konkretaus BŽŪP tikslo? (tikslas nurodytas 5 lape)</v>
      </c>
      <c r="C397" s="672" t="str">
        <f>'10'!I13</f>
        <v>Ne</v>
      </c>
    </row>
    <row r="398" spans="1:3" ht="28.8" x14ac:dyDescent="0.3">
      <c r="A398" s="2" t="s">
        <v>195</v>
      </c>
      <c r="B398" s="673" t="str">
        <f t="shared" si="8"/>
        <v>Ar priemonė prisideda prie 6 konkretaus BŽŪP tikslo? (tikslas nurodytas 5 lape)</v>
      </c>
      <c r="C398" s="672" t="str">
        <f>'10'!I14</f>
        <v>Ne</v>
      </c>
    </row>
    <row r="399" spans="1:3" ht="28.8" x14ac:dyDescent="0.3">
      <c r="A399" s="2" t="s">
        <v>196</v>
      </c>
      <c r="B399" s="673" t="str">
        <f t="shared" si="8"/>
        <v>Ar priemonė prisideda prie 9 konkretaus BŽŪP tikslo? (tikslas nurodytas 5 lape)</v>
      </c>
      <c r="C399" s="672" t="str">
        <f>'10'!I15</f>
        <v>Ne</v>
      </c>
    </row>
    <row r="400" spans="1:3" x14ac:dyDescent="0.3">
      <c r="A400" s="2" t="s">
        <v>94</v>
      </c>
      <c r="B400" s="675" t="str">
        <f t="shared" si="8"/>
        <v>A dalis. Priemonės intervencijos logika:</v>
      </c>
      <c r="C400" s="676"/>
    </row>
    <row r="401" spans="1:3" ht="158.4" x14ac:dyDescent="0.3">
      <c r="A401" s="2" t="s">
        <v>197</v>
      </c>
      <c r="B401" s="673" t="str">
        <f t="shared" si="8"/>
        <v>Priemonės tikslas, ryšys su pagrindiniu BŽŪP tikslu ir VVG teritorijos poreikiais (problemomis ir (arba) potencialu), ryšys su VPS tema (jei taikoma)</v>
      </c>
      <c r="C401" s="677" t="str">
        <f>'10'!I17</f>
        <v xml:space="preserve">Tikslas – didinti gyventojų užimtumą, skatinti ir palaikyti verslo kūrimąsi ir plėtrą, didelį dėmesį skiriant inovacijų, išmanių, tvarių, klimatui neutralių sprendimų diegimui, sprendžiant gyventojų, pirmiausia – jaunimo ir ikipensinio amžiaus žmonių užimtumo problemas, tuo pačiu siekiant sudaryti sąlygas kurtis bei plėtotis verslui, siūlančiam išmanius, tvarius ir klimato pokyčiams neutralius sprendimus. Tai prisideda prie VPS temos. Kaimo vietovėse jaučiamas paslaugų trūkumas.  Priemone prisidedama prie BŽŪP R.37  ir R.39  rodiklių,   bus patenkinti 2 ir 3 VPS poreikiai. </v>
      </c>
    </row>
    <row r="402" spans="1:3" ht="72" x14ac:dyDescent="0.3">
      <c r="A402" s="2" t="s">
        <v>198</v>
      </c>
      <c r="B402" s="671" t="str">
        <f t="shared" si="8"/>
        <v>Pokytis, kurio siekiama VPS priemone</v>
      </c>
      <c r="C402" s="677" t="str">
        <f>'10'!I18</f>
        <v xml:space="preserve">Paskatintas bendradarbiavimas  tarp ūkių, smulkaus verslo; Sustiprėję partnerystės ryšiai tarp vietos verslininkų: paslaugų teikėjų/produktų gamintyojų ir  turizmo verslo atstovų vystant skaitmenizavimą ir nuotolinį pardavimą; organizuojant maistop hgradnines. </v>
      </c>
    </row>
    <row r="403" spans="1:3" ht="28.8" x14ac:dyDescent="0.3">
      <c r="A403" s="2" t="s">
        <v>199</v>
      </c>
      <c r="B403" s="509" t="str">
        <f t="shared" si="8"/>
        <v>Kaip priemonė prisidės prie horizontalaus tikslo d įgyvendinimo? (pildoma, jei taikoma)</v>
      </c>
      <c r="C403" s="677" t="str">
        <f>'10'!I19</f>
        <v xml:space="preserve">Netaikoma </v>
      </c>
    </row>
    <row r="404" spans="1:3" ht="28.8" x14ac:dyDescent="0.3">
      <c r="A404" s="2" t="s">
        <v>200</v>
      </c>
      <c r="B404" s="509" t="str">
        <f t="shared" si="8"/>
        <v>Kaip priemonė prisidės prie horizontalaus tikslo e įgyvendinimo? (pildoma, jei taikoma)</v>
      </c>
      <c r="C404" s="677" t="str">
        <f>'10'!I20</f>
        <v xml:space="preserve">Netaikoma </v>
      </c>
    </row>
    <row r="405" spans="1:3" ht="28.8" x14ac:dyDescent="0.3">
      <c r="A405" s="2" t="s">
        <v>201</v>
      </c>
      <c r="B405" s="509" t="str">
        <f t="shared" si="8"/>
        <v>Kaip priemonė prisidės prie horizontalaus tikslo f įgyvendinimo? (pildoma, jei taikoma)</v>
      </c>
      <c r="C405" s="677" t="str">
        <f>'10'!I21</f>
        <v xml:space="preserve">Netaikoma </v>
      </c>
    </row>
    <row r="406" spans="1:3" ht="43.2" x14ac:dyDescent="0.3">
      <c r="A406" s="2" t="s">
        <v>202</v>
      </c>
      <c r="B406" s="509" t="str">
        <f t="shared" si="8"/>
        <v>Kaip priemonė prisidės prie horizontalaus tikslo i įgyvendinimo? (pildoma, jei taikoma)</v>
      </c>
      <c r="C406" s="677" t="str">
        <f>'10'!I22</f>
        <v>Bus keliamas reikalavimas, kad rezultatas būtų susijęs su žiedine ekonomika (tvarus maisto naudojimas, maisto grandinės kt.)</v>
      </c>
    </row>
    <row r="407" spans="1:3" ht="28.8" x14ac:dyDescent="0.3">
      <c r="A407" s="2" t="s">
        <v>203</v>
      </c>
      <c r="B407" s="675" t="str">
        <f t="shared" si="8"/>
        <v>B dalis. Pareiškėjų ir projektų tinkamumo sąlygos, projektų atrankos principai:</v>
      </c>
      <c r="C407" s="676"/>
    </row>
    <row r="408" spans="1:3" ht="28.8" x14ac:dyDescent="0.3">
      <c r="A408" s="2" t="s">
        <v>204</v>
      </c>
      <c r="B408" s="509" t="str">
        <f t="shared" si="8"/>
        <v>Pagal priemonę remiamos veiklos</v>
      </c>
      <c r="C408" s="677" t="str">
        <f>'10'!I24</f>
        <v>Pagal priemonę remiamos viena arba kelios  ekonominės veiklos, susijusios su maisto tvarumu.</v>
      </c>
    </row>
    <row r="409" spans="1:3" ht="28.8" x14ac:dyDescent="0.3">
      <c r="A409" s="2" t="s">
        <v>205</v>
      </c>
      <c r="B409" s="671" t="str">
        <f t="shared" si="8"/>
        <v>Tinkami pareiškėjai ir partneriai (jei taikomas reikalavimas projektus įgyvendinti su partneriais)</v>
      </c>
      <c r="C409" s="677" t="str">
        <f>'10'!I25</f>
        <v>Fiziniai ir juridiniai asmenys: ūkininkas ar kitas fizinis asmuo, labai maža įmonė, maža įmonė.</v>
      </c>
    </row>
    <row r="410" spans="1:3" ht="28.8" x14ac:dyDescent="0.3">
      <c r="A410" s="2" t="s">
        <v>206</v>
      </c>
      <c r="B410" s="671" t="str">
        <f t="shared" si="8"/>
        <v>Priemonės tikslinė grupė (pildoma, jei nesutampa su tinkamais pareiškėjais ir (arba) partneriais)</v>
      </c>
      <c r="C410" s="677" t="str">
        <f>'10'!I26</f>
        <v xml:space="preserve">Ūkio subjektai (fiziniai (amatininkai, kt.) ir (arba) juridiniai asmenys) </v>
      </c>
    </row>
    <row r="411" spans="1:3" ht="28.8" x14ac:dyDescent="0.3">
      <c r="A411" s="2" t="s">
        <v>725</v>
      </c>
      <c r="B411" s="509" t="str">
        <f t="shared" si="8"/>
        <v>Tinkamumo sąlygos pareiškėjams ir projektams</v>
      </c>
      <c r="C411" s="677" t="str">
        <f>'10'!I27</f>
        <v xml:space="preserve">Tinkamumo sąlygos pareiškėjams  ir  vietos projektams bus nurodytos Vietos projektų administravimo taisyklėse. </v>
      </c>
    </row>
    <row r="412" spans="1:3" ht="57.6" x14ac:dyDescent="0.3">
      <c r="A412" s="2" t="s">
        <v>726</v>
      </c>
      <c r="B412" s="673" t="str">
        <f t="shared" si="8"/>
        <v>Projektų atrankos principai</v>
      </c>
      <c r="C412" s="677" t="str">
        <f>'10'!I28</f>
        <v>1.	Projektas susijęs su žiedine ekonomika.
2.	Kuriamos inovacijos VVG teritorijoje.
Detalus atrankos kriterijų sąrašas bus nustatomas priemonės įgyvendinimo taisyklėse</v>
      </c>
    </row>
    <row r="413" spans="1:3" x14ac:dyDescent="0.3">
      <c r="A413" s="2" t="s">
        <v>727</v>
      </c>
      <c r="B413" s="509" t="str">
        <f t="shared" si="8"/>
        <v>Planuojamų kvietimų teikti paraiškas skaičius</v>
      </c>
      <c r="C413" s="670">
        <f>'10'!I29</f>
        <v>1</v>
      </c>
    </row>
    <row r="414" spans="1:3" x14ac:dyDescent="0.3">
      <c r="A414" s="2" t="s">
        <v>728</v>
      </c>
      <c r="B414" s="651" t="str">
        <f t="shared" si="8"/>
        <v>C dalis. Paramos dydžiai:</v>
      </c>
      <c r="C414" s="676"/>
    </row>
    <row r="415" spans="1:3" x14ac:dyDescent="0.3">
      <c r="A415" s="2" t="s">
        <v>729</v>
      </c>
      <c r="B415" s="509" t="str">
        <f t="shared" si="8"/>
        <v>Didžiausia paramos suma vietos projektui, Eur</v>
      </c>
      <c r="C415" s="677">
        <f>'10'!I31</f>
        <v>100001</v>
      </c>
    </row>
    <row r="416" spans="1:3" x14ac:dyDescent="0.3">
      <c r="A416" s="2" t="s">
        <v>730</v>
      </c>
      <c r="B416" s="509" t="str">
        <f t="shared" si="8"/>
        <v xml:space="preserve">Paramos lyginamoji dalis, proc. </v>
      </c>
      <c r="C416" s="677" t="str">
        <f>'10'!I32</f>
        <v>iki 65</v>
      </c>
    </row>
    <row r="417" spans="1:3" x14ac:dyDescent="0.3">
      <c r="A417" s="2" t="s">
        <v>731</v>
      </c>
      <c r="B417" s="509" t="str">
        <f t="shared" si="8"/>
        <v>Planuojama paramos suma priemonei, Eur</v>
      </c>
      <c r="C417" s="678">
        <f>'10'!I33</f>
        <v>100001</v>
      </c>
    </row>
    <row r="418" spans="1:3" x14ac:dyDescent="0.3">
      <c r="A418" s="2" t="s">
        <v>732</v>
      </c>
      <c r="B418" s="509" t="str">
        <f t="shared" si="8"/>
        <v>Planuojama paremti projektų (rodiklis L700)</v>
      </c>
      <c r="C418" s="679">
        <f>'10'!I34</f>
        <v>1</v>
      </c>
    </row>
    <row r="419" spans="1:3" ht="57.6" x14ac:dyDescent="0.3">
      <c r="A419" s="2" t="s">
        <v>733</v>
      </c>
      <c r="B419" s="509" t="str">
        <f t="shared" si="8"/>
        <v>Paaiškinimas, kaip nustatyta rodiklio L700 reikšmė</v>
      </c>
      <c r="C419" s="677" t="str">
        <f>'10'!I35</f>
        <v xml:space="preserve">Pagal priemonę planuojamų paremti projektų skaičius apskaičiuotas pagal poreikį .   Suma projektui paskaičiuota atsižvelgiant į įgyvendinamos VPS patirtį, įgyvendinant tik veiklos projektus. </v>
      </c>
    </row>
    <row r="420" spans="1:3" ht="28.8" x14ac:dyDescent="0.3">
      <c r="A420" s="2" t="s">
        <v>734</v>
      </c>
      <c r="B420" s="651" t="str">
        <f t="shared" si="8"/>
        <v>D dalis. Priemonės indėlis į ES ir nacionalinių horizontaliųjų principų įgyvendinimą:</v>
      </c>
      <c r="C420" s="676"/>
    </row>
    <row r="421" spans="1:3" x14ac:dyDescent="0.3">
      <c r="A421" s="2" t="s">
        <v>735</v>
      </c>
      <c r="B421" s="680" t="str">
        <f t="shared" si="8"/>
        <v>Subregioninės vietovės principas:</v>
      </c>
      <c r="C421" s="676"/>
    </row>
    <row r="422" spans="1:3" ht="28.8" x14ac:dyDescent="0.3">
      <c r="A422" s="2" t="s">
        <v>736</v>
      </c>
      <c r="B422" s="509" t="str">
        <f t="shared" si="8"/>
        <v>Ar siekiama, kad pagal priemonę finansuojami projektai apimtų visas VVG teritorijos seniūnijas?</v>
      </c>
      <c r="C422" s="672" t="str">
        <f>'10'!I38</f>
        <v>Ne</v>
      </c>
    </row>
    <row r="423" spans="1:3" ht="57.6" x14ac:dyDescent="0.3">
      <c r="A423" s="2" t="s">
        <v>737</v>
      </c>
      <c r="B423" s="509" t="str">
        <f t="shared" si="8"/>
        <v>Pasirinkimo pagrindimas</v>
      </c>
      <c r="C423" s="677" t="str">
        <f>'10'!I39</f>
        <v>Atsižvelgiant į suplanuotą priemonei lėšų sumą ir planuojamą finansuoti projektų skaičių, nerealu, kad  projekto veiklos apimtų visas 8 seniūnijas, tačiau veiklos vykdymo, paslaugų teikimas gali apimti visą VVG teritoriją.</v>
      </c>
    </row>
    <row r="424" spans="1:3" x14ac:dyDescent="0.3">
      <c r="A424" s="2" t="s">
        <v>738</v>
      </c>
      <c r="B424" s="680" t="str">
        <f t="shared" si="8"/>
        <v>Partnerystės principas:</v>
      </c>
      <c r="C424" s="676"/>
    </row>
    <row r="425" spans="1:3" ht="28.8" x14ac:dyDescent="0.3">
      <c r="A425" s="2" t="s">
        <v>739</v>
      </c>
      <c r="B425" s="509" t="str">
        <f t="shared" si="8"/>
        <v>Ar siekiama, kad pagal priemonę finansuojami projektai būtų vykdomi su partneriais?</v>
      </c>
      <c r="C425" s="672" t="str">
        <f>'10'!I41</f>
        <v>Taip, privalomai</v>
      </c>
    </row>
    <row r="426" spans="1:3" x14ac:dyDescent="0.3">
      <c r="A426" s="2" t="s">
        <v>740</v>
      </c>
      <c r="B426" s="509" t="str">
        <f t="shared" si="8"/>
        <v>Pasirinkimo pagrindimas</v>
      </c>
      <c r="C426" s="677" t="str">
        <f>'10'!I42</f>
        <v>Reikalavimas bus taikomas kaip tinkamumo sąlyga.</v>
      </c>
    </row>
    <row r="427" spans="1:3" x14ac:dyDescent="0.3">
      <c r="A427" s="2" t="s">
        <v>741</v>
      </c>
      <c r="B427" s="680" t="str">
        <f t="shared" si="8"/>
        <v>Inovacijų principas:</v>
      </c>
      <c r="C427" s="676"/>
    </row>
    <row r="428" spans="1:3" ht="28.8" x14ac:dyDescent="0.3">
      <c r="A428" s="2" t="s">
        <v>742</v>
      </c>
      <c r="B428" s="509" t="str">
        <f t="shared" si="8"/>
        <v>Ar siekiama, kad pagal priemonę finansuojami projektai būtų skirti inovacijoms vietos lygiu diegti?</v>
      </c>
      <c r="C428" s="672" t="str">
        <f>'10'!I44</f>
        <v>Taip, privalomai</v>
      </c>
    </row>
    <row r="429" spans="1:3" x14ac:dyDescent="0.3">
      <c r="A429" s="2" t="s">
        <v>743</v>
      </c>
      <c r="B429" s="509" t="str">
        <f t="shared" si="8"/>
        <v>Pasirinkimo pagrindimas</v>
      </c>
      <c r="C429" s="677" t="str">
        <f>'10'!I45</f>
        <v>Reikalavimas bus taikomas kaip tinkamumo sąlyga.</v>
      </c>
    </row>
    <row r="430" spans="1:3" ht="28.8" x14ac:dyDescent="0.3">
      <c r="A430" s="2" t="s">
        <v>744</v>
      </c>
      <c r="B430" s="509" t="str">
        <f t="shared" si="8"/>
        <v>Planuojama paremti projektų, skirtų inovacijoms vietos lygiu diegti (rodiklis L710)</v>
      </c>
      <c r="C430" s="679">
        <f>'10'!I46</f>
        <v>0</v>
      </c>
    </row>
    <row r="431" spans="1:3" x14ac:dyDescent="0.3">
      <c r="A431" s="2" t="s">
        <v>745</v>
      </c>
      <c r="B431" s="680" t="str">
        <f t="shared" si="8"/>
        <v>Lyčių lygybė ir nediskriminavimas:</v>
      </c>
      <c r="C431" s="676"/>
    </row>
    <row r="432" spans="1:3" ht="28.8" x14ac:dyDescent="0.3">
      <c r="A432" s="2" t="s">
        <v>746</v>
      </c>
      <c r="B432" s="509" t="str">
        <f t="shared" si="8"/>
        <v>Ar pagal priemonę finansuojami projektai, skirti lyčių lygybei ir nediskriminavimui?</v>
      </c>
      <c r="C432" s="672" t="str">
        <f>'10'!I48</f>
        <v>Taip</v>
      </c>
    </row>
    <row r="433" spans="1:3" ht="72" x14ac:dyDescent="0.3">
      <c r="A433" s="2" t="s">
        <v>747</v>
      </c>
      <c r="B433" s="509" t="str">
        <f t="shared" si="8"/>
        <v>Pasirinkimo pagrindimas (jei taip, kaip bus užtikrinta)</v>
      </c>
      <c r="C433" s="677" t="str">
        <f>'10'!I49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434" spans="1:3" x14ac:dyDescent="0.3">
      <c r="A434" s="2" t="s">
        <v>748</v>
      </c>
      <c r="B434" s="680" t="str">
        <f t="shared" si="8"/>
        <v>Jaunimas:</v>
      </c>
      <c r="C434" s="676"/>
    </row>
    <row r="435" spans="1:3" x14ac:dyDescent="0.3">
      <c r="A435" s="2" t="s">
        <v>749</v>
      </c>
      <c r="B435" s="509" t="str">
        <f t="shared" si="8"/>
        <v>Ar pagal priemonę finansuojami projektai, skirti jaunimui?</v>
      </c>
      <c r="C435" s="672" t="str">
        <f>'10'!I51</f>
        <v>Taip</v>
      </c>
    </row>
    <row r="436" spans="1:3" ht="43.2" x14ac:dyDescent="0.3">
      <c r="A436" s="2" t="s">
        <v>750</v>
      </c>
      <c r="B436" s="509" t="str">
        <f t="shared" si="8"/>
        <v>Pasirinkimo pagrindimas (jei taip, kaip bus užtikrinta)</v>
      </c>
      <c r="C436" s="677" t="str">
        <f>'10'!I52</f>
        <v>Dalyvauti projektinėse veiklose ir juos teikti bus sudarytos vienodos sąlygos visiems, netaikant pozityvios diskriminacijos pagal amžių.</v>
      </c>
    </row>
    <row r="437" spans="1:3" x14ac:dyDescent="0.3">
      <c r="A437" s="2" t="s">
        <v>751</v>
      </c>
      <c r="B437" s="675" t="str">
        <f t="shared" si="8"/>
        <v>E dalis. Priemonės rezultato rodikliai:</v>
      </c>
      <c r="C437" s="676"/>
    </row>
    <row r="438" spans="1:3" x14ac:dyDescent="0.3">
      <c r="A438" s="2" t="s">
        <v>752</v>
      </c>
      <c r="B438" s="680" t="str">
        <f t="shared" si="8"/>
        <v>SP rezultato rodiklių taikymas priemonei:</v>
      </c>
      <c r="C438" s="676"/>
    </row>
    <row r="439" spans="1:3" x14ac:dyDescent="0.3">
      <c r="A439" s="2" t="s">
        <v>753</v>
      </c>
      <c r="B439" s="681" t="str">
        <f t="shared" si="8"/>
        <v>R.3</v>
      </c>
      <c r="C439" s="687" t="str">
        <f>'10'!I55</f>
        <v>Ne</v>
      </c>
    </row>
    <row r="440" spans="1:3" x14ac:dyDescent="0.3">
      <c r="A440" s="2" t="s">
        <v>754</v>
      </c>
      <c r="B440" s="681" t="str">
        <f t="shared" si="8"/>
        <v>R.37</v>
      </c>
      <c r="C440" s="687" t="str">
        <f>'10'!I56</f>
        <v>Taip</v>
      </c>
    </row>
    <row r="441" spans="1:3" x14ac:dyDescent="0.3">
      <c r="A441" s="2" t="s">
        <v>755</v>
      </c>
      <c r="B441" s="681" t="str">
        <f t="shared" si="8"/>
        <v>R.39</v>
      </c>
      <c r="C441" s="687" t="str">
        <f>'10'!I57</f>
        <v>Ne</v>
      </c>
    </row>
    <row r="442" spans="1:3" x14ac:dyDescent="0.3">
      <c r="A442" s="2" t="s">
        <v>756</v>
      </c>
      <c r="B442" s="681" t="str">
        <f t="shared" si="8"/>
        <v>R.41</v>
      </c>
      <c r="C442" s="687" t="str">
        <f>'10'!I58</f>
        <v>Ne</v>
      </c>
    </row>
    <row r="443" spans="1:3" x14ac:dyDescent="0.3">
      <c r="A443" s="2" t="s">
        <v>757</v>
      </c>
      <c r="B443" s="681" t="str">
        <f t="shared" si="8"/>
        <v>R.42</v>
      </c>
      <c r="C443" s="687" t="str">
        <f>'10'!I59</f>
        <v>Ne</v>
      </c>
    </row>
    <row r="444" spans="1:3" x14ac:dyDescent="0.3">
      <c r="A444" s="2" t="s">
        <v>758</v>
      </c>
      <c r="B444" s="680" t="str">
        <f t="shared" si="8"/>
        <v>VPS rodiklių taikymas priemonei:</v>
      </c>
      <c r="C444" s="688"/>
    </row>
    <row r="445" spans="1:3" x14ac:dyDescent="0.3">
      <c r="A445" s="2" t="s">
        <v>759</v>
      </c>
      <c r="B445" s="681" t="str">
        <f t="shared" si="8"/>
        <v>TRAK-P.1</v>
      </c>
      <c r="C445" s="687" t="str">
        <f>'10'!I61</f>
        <v>Ne</v>
      </c>
    </row>
    <row r="446" spans="1:3" x14ac:dyDescent="0.3">
      <c r="A446" s="2" t="s">
        <v>760</v>
      </c>
      <c r="B446" s="681" t="str">
        <f t="shared" si="8"/>
        <v>TRAK-P.2</v>
      </c>
      <c r="C446" s="687" t="str">
        <f>'10'!I62</f>
        <v>Ne</v>
      </c>
    </row>
    <row r="447" spans="1:3" x14ac:dyDescent="0.3">
      <c r="A447" s="2" t="s">
        <v>761</v>
      </c>
      <c r="B447" s="681" t="str">
        <f t="shared" si="8"/>
        <v>TRAK-P.3</v>
      </c>
      <c r="C447" s="687" t="str">
        <f>'10'!I63</f>
        <v>Ne</v>
      </c>
    </row>
    <row r="448" spans="1:3" x14ac:dyDescent="0.3">
      <c r="A448" s="2" t="s">
        <v>762</v>
      </c>
      <c r="B448" s="681" t="str">
        <f t="shared" si="8"/>
        <v>TRAK-P.4</v>
      </c>
      <c r="C448" s="687" t="str">
        <f>'10'!I64</f>
        <v>Ne</v>
      </c>
    </row>
    <row r="449" spans="1:3" x14ac:dyDescent="0.3">
      <c r="A449" s="2" t="s">
        <v>763</v>
      </c>
      <c r="B449" s="681" t="str">
        <f t="shared" si="8"/>
        <v>TRAK-P.5</v>
      </c>
      <c r="C449" s="687" t="str">
        <f>'10'!I65</f>
        <v>Ne</v>
      </c>
    </row>
    <row r="450" spans="1:3" x14ac:dyDescent="0.3">
      <c r="A450" s="2" t="s">
        <v>764</v>
      </c>
      <c r="B450" s="681" t="str">
        <f t="shared" si="8"/>
        <v>TRAK-P.6</v>
      </c>
      <c r="C450" s="687" t="str">
        <f>'10'!I66</f>
        <v>Ne</v>
      </c>
    </row>
    <row r="451" spans="1:3" x14ac:dyDescent="0.3">
      <c r="A451" s="2" t="s">
        <v>765</v>
      </c>
      <c r="B451" s="681" t="str">
        <f t="shared" si="8"/>
        <v>TRAK-P.7</v>
      </c>
      <c r="C451" s="687" t="str">
        <f>'10'!I67</f>
        <v>Ne</v>
      </c>
    </row>
    <row r="452" spans="1:3" x14ac:dyDescent="0.3">
      <c r="A452" s="2" t="s">
        <v>766</v>
      </c>
      <c r="B452" s="681" t="str">
        <f t="shared" si="8"/>
        <v>TRAK-P.8</v>
      </c>
      <c r="C452" s="687" t="str">
        <f>'10'!I68</f>
        <v>Ne</v>
      </c>
    </row>
    <row r="453" spans="1:3" x14ac:dyDescent="0.3">
      <c r="A453" s="2" t="s">
        <v>767</v>
      </c>
      <c r="B453" s="681" t="str">
        <f t="shared" si="8"/>
        <v>TRAK-P.9</v>
      </c>
      <c r="C453" s="687" t="str">
        <f>'10'!I69</f>
        <v>Ne</v>
      </c>
    </row>
    <row r="454" spans="1:3" x14ac:dyDescent="0.3">
      <c r="A454" s="2" t="s">
        <v>768</v>
      </c>
      <c r="B454" s="683" t="str">
        <f t="shared" si="8"/>
        <v>TRAK-P.10</v>
      </c>
      <c r="C454" s="689" t="str">
        <f>'10'!I70</f>
        <v>Ne</v>
      </c>
    </row>
    <row r="455" spans="1:3" x14ac:dyDescent="0.3">
      <c r="A455" s="2" t="s">
        <v>769</v>
      </c>
      <c r="B455" s="675" t="str">
        <f t="shared" si="8"/>
        <v>F dalis. Pagal priemonę remiamų projektų pobūdis:</v>
      </c>
      <c r="C455" s="676"/>
    </row>
    <row r="456" spans="1:3" x14ac:dyDescent="0.3">
      <c r="A456" s="2" t="s">
        <v>770</v>
      </c>
      <c r="B456" s="671" t="str">
        <f t="shared" ref="B456:B465" si="9">B379</f>
        <v>Remiami pelno projektai</v>
      </c>
      <c r="C456" s="672" t="str">
        <f>'10'!I72</f>
        <v>Taip</v>
      </c>
    </row>
    <row r="457" spans="1:3" ht="57.6" x14ac:dyDescent="0.3">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Ne</v>
      </c>
    </row>
    <row r="458" spans="1:3" ht="57.6" x14ac:dyDescent="0.3">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Taip</v>
      </c>
    </row>
    <row r="459" spans="1:3" ht="43.2" x14ac:dyDescent="0.3">
      <c r="A459" s="2" t="s">
        <v>773</v>
      </c>
      <c r="B459" s="673" t="str">
        <f t="shared" si="9"/>
        <v>Remiami projektai, susiję su atsinaujinančios energijos gamybos pajėgumais, įskaitant biologinę (aktualu rodikliui L803)</v>
      </c>
      <c r="C459" s="672" t="str">
        <f>'10'!I75</f>
        <v>Ne</v>
      </c>
    </row>
    <row r="460" spans="1:3" ht="43.2" x14ac:dyDescent="0.3">
      <c r="A460" s="2" t="s">
        <v>774</v>
      </c>
      <c r="B460" s="673" t="str">
        <f t="shared" si="9"/>
        <v>Remiami projektai, prisidedantys prie aplinkos tvarumo, klimato kaitos švelninimo bei prisitaikymo prie jos tikslų įgyvendinimo kaimo vietovėse (aktualu rodikliui L804)</v>
      </c>
      <c r="C460" s="672" t="str">
        <f>'10'!I76</f>
        <v>Ne</v>
      </c>
    </row>
    <row r="461" spans="1:3" ht="28.8" x14ac:dyDescent="0.3">
      <c r="A461" s="2" t="s">
        <v>775</v>
      </c>
      <c r="B461" s="673" t="str">
        <f t="shared" si="9"/>
        <v>Remiami projektai, kurie kuria darbo vietas (aktualu rodikliui L805)</v>
      </c>
      <c r="C461" s="672" t="str">
        <f>'10'!I77</f>
        <v>Taip</v>
      </c>
    </row>
    <row r="462" spans="1:3" ht="28.8" x14ac:dyDescent="0.3">
      <c r="A462" s="2" t="s">
        <v>776</v>
      </c>
      <c r="B462" s="673" t="str">
        <f t="shared" si="9"/>
        <v>Remiami kaimo verslų, įskaitant bioekonomiką, projektai (aktualu rodikliui L 806)</v>
      </c>
      <c r="C462" s="672" t="str">
        <f>'10'!I78</f>
        <v>Ne</v>
      </c>
    </row>
    <row r="463" spans="1:3" ht="28.8" x14ac:dyDescent="0.3">
      <c r="A463" s="2" t="s">
        <v>777</v>
      </c>
      <c r="B463" s="673" t="str">
        <f t="shared" si="9"/>
        <v>Remiami projektai, susiję su sumanių kaimų strategijomis (aktualu rodikliui L807)</v>
      </c>
      <c r="C463" s="672" t="str">
        <f>'10'!I79</f>
        <v>Ne</v>
      </c>
    </row>
    <row r="464" spans="1:3" ht="28.8" x14ac:dyDescent="0.3">
      <c r="A464" s="2" t="s">
        <v>778</v>
      </c>
      <c r="B464" s="673" t="str">
        <f t="shared" si="9"/>
        <v>Remiami projektai, gerinantys paslaugų prieinamumą ir infrastruktūrą (aktualu rodikliui L808)</v>
      </c>
      <c r="C464" s="672" t="str">
        <f>'10'!I80</f>
        <v>Ne</v>
      </c>
    </row>
    <row r="465" spans="1:3" ht="28.8" x14ac:dyDescent="0.3">
      <c r="A465" s="2" t="s">
        <v>779</v>
      </c>
      <c r="B465" s="673" t="str">
        <f t="shared" si="9"/>
        <v>Remiami socialinės įtraukties projektai (aktualu rodikliui L809)</v>
      </c>
      <c r="C465" s="672" t="str">
        <f>'10'!I81</f>
        <v>Ne</v>
      </c>
    </row>
    <row r="466" spans="1:3" x14ac:dyDescent="0.3">
      <c r="A466" s="2"/>
      <c r="B466" s="649"/>
      <c r="C466" s="685"/>
    </row>
    <row r="467" spans="1:3" x14ac:dyDescent="0.3">
      <c r="A467" s="1"/>
      <c r="B467" s="362"/>
      <c r="C467" s="686" t="str">
        <f>'10'!J6</f>
        <v>7 priemonė</v>
      </c>
    </row>
    <row r="468" spans="1:3" ht="28.8" x14ac:dyDescent="0.3">
      <c r="A468" s="2" t="s">
        <v>188</v>
      </c>
      <c r="B468" s="509" t="str">
        <f>B391</f>
        <v>Priemonės pavadinimas</v>
      </c>
      <c r="C468" s="670" t="str">
        <f>'10'!J7</f>
        <v>Paslaugų įvairinimas/kūrimas, stiprinant materialinę bazę ir (ar) kompetencijas</v>
      </c>
    </row>
    <row r="469" spans="1:3" x14ac:dyDescent="0.3">
      <c r="A469" s="2" t="s">
        <v>189</v>
      </c>
      <c r="B469" s="671" t="str">
        <f t="shared" ref="B469:B532" si="10">B392</f>
        <v>Priemonės rūšis</v>
      </c>
      <c r="C469" s="670" t="str">
        <f>'10'!J8</f>
        <v>Ne žemės ūkio verslo kūrimas ir plėtra</v>
      </c>
    </row>
    <row r="470" spans="1:3" x14ac:dyDescent="0.3">
      <c r="A470" s="2" t="s">
        <v>190</v>
      </c>
      <c r="B470" s="671" t="str">
        <f t="shared" si="10"/>
        <v>VVG teritorijos poreikių, kuriuos tenkina priemonė, skaičius</v>
      </c>
      <c r="C470" s="670">
        <f>'10'!J9</f>
        <v>3</v>
      </c>
    </row>
    <row r="471" spans="1:3" x14ac:dyDescent="0.3">
      <c r="A471" s="2" t="s">
        <v>191</v>
      </c>
      <c r="B471" s="671" t="str">
        <f t="shared" si="10"/>
        <v>BŽŪP tikslų, kuriuos įgyvendina priemonė, skaičius</v>
      </c>
      <c r="C471" s="670">
        <f>'10'!J10</f>
        <v>3</v>
      </c>
    </row>
    <row r="472" spans="1:3" ht="57.6" x14ac:dyDescent="0.3">
      <c r="A472" s="2" t="s">
        <v>192</v>
      </c>
      <c r="B472" s="671" t="str">
        <f t="shared" si="10"/>
        <v>Pagrindinis BŽŪP tikslas, kurį įgyvendina VPS priemonė</v>
      </c>
      <c r="C472" s="672" t="str">
        <f>'10'!J11</f>
        <v>SO8. Skatinti užimtumą, augimą, lyčių lygybę, įskaitant moterų dalyvavimą ūkininkavimo veikloje, socialinę įtrauktį ir vietos plėtrą kaimo vietovėse, įskaitant žiedinę bioekonomiką ir tvarią miškininkystę</v>
      </c>
    </row>
    <row r="473" spans="1:3" ht="28.8" x14ac:dyDescent="0.3">
      <c r="A473" s="2" t="s">
        <v>193</v>
      </c>
      <c r="B473" s="673" t="str">
        <f t="shared" si="10"/>
        <v>Ar priemonė prisideda prie 4 konkretaus BŽŪP tikslo? (tikslas nurodytas 5 lape)</v>
      </c>
      <c r="C473" s="672" t="str">
        <f>'10'!J12</f>
        <v>Ne</v>
      </c>
    </row>
    <row r="474" spans="1:3" ht="28.8" x14ac:dyDescent="0.3">
      <c r="A474" s="2" t="s">
        <v>194</v>
      </c>
      <c r="B474" s="673" t="str">
        <f t="shared" si="10"/>
        <v>Ar priemonė prisideda prie 5 konkretaus BŽŪP tikslo? (tikslas nurodytas 5 lape)</v>
      </c>
      <c r="C474" s="672" t="str">
        <f>'10'!J13</f>
        <v>Ne</v>
      </c>
    </row>
    <row r="475" spans="1:3" ht="28.8" x14ac:dyDescent="0.3">
      <c r="A475" s="2" t="s">
        <v>195</v>
      </c>
      <c r="B475" s="673" t="str">
        <f t="shared" si="10"/>
        <v>Ar priemonė prisideda prie 6 konkretaus BŽŪP tikslo? (tikslas nurodytas 5 lape)</v>
      </c>
      <c r="C475" s="672" t="str">
        <f>'10'!J14</f>
        <v>Ne</v>
      </c>
    </row>
    <row r="476" spans="1:3" ht="28.8" x14ac:dyDescent="0.3">
      <c r="A476" s="2" t="s">
        <v>196</v>
      </c>
      <c r="B476" s="673" t="str">
        <f t="shared" si="10"/>
        <v>Ar priemonė prisideda prie 9 konkretaus BŽŪP tikslo? (tikslas nurodytas 5 lape)</v>
      </c>
      <c r="C476" s="672" t="str">
        <f>'10'!J15</f>
        <v>Ne</v>
      </c>
    </row>
    <row r="477" spans="1:3" x14ac:dyDescent="0.3">
      <c r="A477" s="2" t="s">
        <v>94</v>
      </c>
      <c r="B477" s="675" t="str">
        <f t="shared" si="10"/>
        <v>A dalis. Priemonės intervencijos logika:</v>
      </c>
      <c r="C477" s="676"/>
    </row>
    <row r="478" spans="1:3" ht="172.8" x14ac:dyDescent="0.3">
      <c r="A478" s="2" t="s">
        <v>197</v>
      </c>
      <c r="B478" s="673" t="str">
        <f t="shared" si="10"/>
        <v>Priemonės tikslas, ryšys su pagrindiniu BŽŪP tikslu ir VVG teritorijos poreikiais (problemomis ir (arba) potencialu), ryšys su VPS tema (jei taikoma)</v>
      </c>
      <c r="C478" s="677" t="str">
        <f>'10'!J17</f>
        <v xml:space="preserve">Tikslas – didinti gyventojų užimtumą, skatinti ir palaikyti verslo kūrimąsi ir plėtrą, didelį dėmesį skiriant inovacijų, išmanių, tvarių, klimatui neutralių sprendimų diegimui, sprendžiant gyventojų, pirmiausia – jaunimo ir ikipensinio amžiaus žmonių užimtumo problemas, tuo pačiu siekiant sudaryti sąlygas kurtis bei plėtotis verslui, siūlančiam išmanius, tvarius ir klimato pokyčiams neutralius sprendimus. Tai prisideda prie VPS temos. Kaimo vietovėse trūksta paslaugų, ypač inovatyvių, kokybišksnių.   Priemone prisidedama prie BŽŪP R.37  ir R.39  rodiklių,   bus patenkinti 2 ir 3 VPS poreikiai. 
</v>
      </c>
    </row>
    <row r="479" spans="1:3" ht="28.8" x14ac:dyDescent="0.3">
      <c r="A479" s="2" t="s">
        <v>198</v>
      </c>
      <c r="B479" s="671" t="str">
        <f t="shared" si="10"/>
        <v>Pokytis, kurio siekiama VPS priemone</v>
      </c>
      <c r="C479" s="677" t="str">
        <f>'10'!J18</f>
        <v xml:space="preserve"> Išaugęs paslaugų skaičius (ne mažiau kaip 4 naujos paslaugos) </v>
      </c>
    </row>
    <row r="480" spans="1:3" ht="28.8" x14ac:dyDescent="0.3">
      <c r="A480" s="2" t="s">
        <v>199</v>
      </c>
      <c r="B480" s="509" t="str">
        <f t="shared" si="10"/>
        <v>Kaip priemonė prisidės prie horizontalaus tikslo d įgyvendinimo? (pildoma, jei taikoma)</v>
      </c>
      <c r="C480" s="677">
        <f>'10'!J19</f>
        <v>0</v>
      </c>
    </row>
    <row r="481" spans="1:3" ht="28.8" x14ac:dyDescent="0.3">
      <c r="A481" s="2" t="s">
        <v>200</v>
      </c>
      <c r="B481" s="509" t="str">
        <f t="shared" si="10"/>
        <v>Kaip priemonė prisidės prie horizontalaus tikslo e įgyvendinimo? (pildoma, jei taikoma)</v>
      </c>
      <c r="C481" s="677" t="str">
        <f>'10'!J20</f>
        <v xml:space="preserve">Netaikoma </v>
      </c>
    </row>
    <row r="482" spans="1:3" ht="28.8" x14ac:dyDescent="0.3">
      <c r="A482" s="2" t="s">
        <v>201</v>
      </c>
      <c r="B482" s="509" t="str">
        <f t="shared" si="10"/>
        <v>Kaip priemonė prisidės prie horizontalaus tikslo f įgyvendinimo? (pildoma, jei taikoma)</v>
      </c>
      <c r="C482" s="677" t="str">
        <f>'10'!J21</f>
        <v xml:space="preserve">Netaikoma </v>
      </c>
    </row>
    <row r="483" spans="1:3" ht="28.8" x14ac:dyDescent="0.3">
      <c r="A483" s="2" t="s">
        <v>202</v>
      </c>
      <c r="B483" s="509" t="str">
        <f t="shared" si="10"/>
        <v>Kaip priemonė prisidės prie horizontalaus tikslo i įgyvendinimo? (pildoma, jei taikoma)</v>
      </c>
      <c r="C483" s="677" t="str">
        <f>'10'!J22</f>
        <v>Bus keliamas reikalavimas, kad paslaugos būtų susijusios su maistu ir sveikata.</v>
      </c>
    </row>
    <row r="484" spans="1:3" ht="28.8" x14ac:dyDescent="0.3">
      <c r="A484" s="2" t="s">
        <v>203</v>
      </c>
      <c r="B484" s="675" t="str">
        <f t="shared" si="10"/>
        <v>B dalis. Pareiškėjų ir projektų tinkamumo sąlygos, projektų atrankos principai:</v>
      </c>
      <c r="C484" s="676"/>
    </row>
    <row r="485" spans="1:3" ht="28.8" x14ac:dyDescent="0.3">
      <c r="A485" s="2" t="s">
        <v>204</v>
      </c>
      <c r="B485" s="509" t="str">
        <f t="shared" si="10"/>
        <v>Pagal priemonę remiamos veiklos</v>
      </c>
      <c r="C485" s="677" t="str">
        <f>'10'!J24</f>
        <v>Pagal priemonę remiamos viena arba kelios  ekonominės veiklos verslo pradžiai ar /ir plėtrai.</v>
      </c>
    </row>
    <row r="486" spans="1:3" ht="28.8" x14ac:dyDescent="0.3">
      <c r="A486" s="2" t="s">
        <v>205</v>
      </c>
      <c r="B486" s="671" t="str">
        <f t="shared" si="10"/>
        <v>Tinkami pareiškėjai ir partneriai (jei taikomas reikalavimas projektus įgyvendinti su partneriais)</v>
      </c>
      <c r="C486" s="677" t="str">
        <f>'10'!J25</f>
        <v>Fiziniai ir juridiniai asmenys: ūkininkas ar kitas fizinis asmuo, labai maža įmonė, maža įmonė.</v>
      </c>
    </row>
    <row r="487" spans="1:3" ht="28.8" x14ac:dyDescent="0.3">
      <c r="A487" s="2" t="s">
        <v>206</v>
      </c>
      <c r="B487" s="671" t="str">
        <f t="shared" si="10"/>
        <v>Priemonės tikslinė grupė (pildoma, jei nesutampa su tinkamais pareiškėjais ir (arba) partneriais)</v>
      </c>
      <c r="C487" s="677" t="str">
        <f>'10'!J26</f>
        <v>Ūkio subjektai (fiziniai (amatininkai, kt.) ir (arba) juridiniai asmenys)</v>
      </c>
    </row>
    <row r="488" spans="1:3" ht="28.8" x14ac:dyDescent="0.3">
      <c r="A488" s="2" t="s">
        <v>725</v>
      </c>
      <c r="B488" s="509" t="str">
        <f t="shared" si="10"/>
        <v>Tinkamumo sąlygos pareiškėjams ir projektams</v>
      </c>
      <c r="C488" s="677" t="str">
        <f>'10'!J27</f>
        <v xml:space="preserve">Tinkamumo sąlygos pareiškėjams  ir  vietos projektams bus nurodytos Vietos projektų administravimo taisyklėse. </v>
      </c>
    </row>
    <row r="489" spans="1:3" ht="115.2" x14ac:dyDescent="0.3">
      <c r="A489" s="2" t="s">
        <v>726</v>
      </c>
      <c r="B489" s="673" t="str">
        <f t="shared" si="10"/>
        <v>Projektų atrankos principai</v>
      </c>
      <c r="C489" s="677" t="str">
        <f>'10'!J28</f>
        <v>1.	Pareiškėja (fizinis asmuo) yra moteris arba pareiškėjo (juridinio asmens) pagrindinė akcininkė, turinti daugiau kaip 50 proc. juridinio asmens akcijų, (juridinių asmenų, kurie neturi ir negali turėti akcininkų, atveju pagrindiniam akcininkui prilyginamas vadovas) yra moteris.
2.	Įdarbinami asmenys vyresni kaip 50 metų.
Detalus atrankos kriterijų sąrašas bus nustatomas priemonės įgyvendinimo taisyklėse.</v>
      </c>
    </row>
    <row r="490" spans="1:3" x14ac:dyDescent="0.3">
      <c r="A490" s="2" t="s">
        <v>727</v>
      </c>
      <c r="B490" s="509" t="str">
        <f t="shared" si="10"/>
        <v>Planuojamų kvietimų teikti paraiškas skaičius</v>
      </c>
      <c r="C490" s="670">
        <f>'10'!J29</f>
        <v>2</v>
      </c>
    </row>
    <row r="491" spans="1:3" x14ac:dyDescent="0.3">
      <c r="A491" s="2" t="s">
        <v>728</v>
      </c>
      <c r="B491" s="651" t="str">
        <f t="shared" si="10"/>
        <v>C dalis. Paramos dydžiai:</v>
      </c>
      <c r="C491" s="676"/>
    </row>
    <row r="492" spans="1:3" x14ac:dyDescent="0.3">
      <c r="A492" s="2" t="s">
        <v>729</v>
      </c>
      <c r="B492" s="509" t="str">
        <f t="shared" si="10"/>
        <v>Didžiausia paramos suma vietos projektui, Eur</v>
      </c>
      <c r="C492" s="677">
        <f>'10'!J31</f>
        <v>70000</v>
      </c>
    </row>
    <row r="493" spans="1:3" x14ac:dyDescent="0.3">
      <c r="A493" s="2" t="s">
        <v>730</v>
      </c>
      <c r="B493" s="509" t="str">
        <f t="shared" si="10"/>
        <v xml:space="preserve">Paramos lyginamoji dalis, proc. </v>
      </c>
      <c r="C493" s="677" t="str">
        <f>'10'!J32</f>
        <v>iki 65</v>
      </c>
    </row>
    <row r="494" spans="1:3" x14ac:dyDescent="0.3">
      <c r="A494" s="2" t="s">
        <v>731</v>
      </c>
      <c r="B494" s="509" t="str">
        <f t="shared" si="10"/>
        <v>Planuojama paramos suma priemonei, Eur</v>
      </c>
      <c r="C494" s="678">
        <f>'10'!J33</f>
        <v>280000</v>
      </c>
    </row>
    <row r="495" spans="1:3" x14ac:dyDescent="0.3">
      <c r="A495" s="2" t="s">
        <v>732</v>
      </c>
      <c r="B495" s="509" t="str">
        <f t="shared" si="10"/>
        <v>Planuojama paremti projektų (rodiklis L700)</v>
      </c>
      <c r="C495" s="679">
        <f>'10'!J34</f>
        <v>4</v>
      </c>
    </row>
    <row r="496" spans="1:3" ht="43.2" x14ac:dyDescent="0.3">
      <c r="A496" s="2" t="s">
        <v>733</v>
      </c>
      <c r="B496" s="509" t="str">
        <f t="shared" si="10"/>
        <v>Paaiškinimas, kaip nustatyta rodiklio L700 reikšmė</v>
      </c>
      <c r="C496" s="677" t="str">
        <f>'10'!J35</f>
        <v xml:space="preserve">Pagal priemonę planuojamų paremti projektų skaičius apskaičiuotas pagal maksimalią galimą paramos sumą vienam projektui. </v>
      </c>
    </row>
    <row r="497" spans="1:3" ht="28.8" x14ac:dyDescent="0.3">
      <c r="A497" s="2" t="s">
        <v>734</v>
      </c>
      <c r="B497" s="651" t="str">
        <f t="shared" si="10"/>
        <v>D dalis. Priemonės indėlis į ES ir nacionalinių horizontaliųjų principų įgyvendinimą:</v>
      </c>
      <c r="C497" s="676"/>
    </row>
    <row r="498" spans="1:3" x14ac:dyDescent="0.3">
      <c r="A498" s="2" t="s">
        <v>735</v>
      </c>
      <c r="B498" s="680" t="str">
        <f t="shared" si="10"/>
        <v>Subregioninės vietovės principas:</v>
      </c>
      <c r="C498" s="676"/>
    </row>
    <row r="499" spans="1:3" ht="28.8" x14ac:dyDescent="0.3">
      <c r="A499" s="2" t="s">
        <v>736</v>
      </c>
      <c r="B499" s="509" t="str">
        <f t="shared" si="10"/>
        <v>Ar siekiama, kad pagal priemonę finansuojami projektai apimtų visas VVG teritorijos seniūnijas?</v>
      </c>
      <c r="C499" s="672" t="str">
        <f>'10'!J38</f>
        <v>Ne</v>
      </c>
    </row>
    <row r="500" spans="1:3" ht="57.6" x14ac:dyDescent="0.3">
      <c r="A500" s="2" t="s">
        <v>737</v>
      </c>
      <c r="B500" s="509" t="str">
        <f t="shared" si="10"/>
        <v>Pasirinkimo pagrindimas</v>
      </c>
      <c r="C500" s="677" t="str">
        <f>'10'!J39</f>
        <v>Atsižvelgiant į suplanuotą priemonei lėšų sumą ir planuojamą finansuoti projektų skaičių, nerealu, kad  projekto veiklos apimtų visas 8 seniūnijas, tačiau veiklos vykdymo, paslaugų teikimas gali apimti visą VVG teritoriją.</v>
      </c>
    </row>
    <row r="501" spans="1:3" x14ac:dyDescent="0.3">
      <c r="A501" s="2" t="s">
        <v>738</v>
      </c>
      <c r="B501" s="680" t="str">
        <f t="shared" si="10"/>
        <v>Partnerystės principas:</v>
      </c>
      <c r="C501" s="676"/>
    </row>
    <row r="502" spans="1:3" ht="28.8" x14ac:dyDescent="0.3">
      <c r="A502" s="2" t="s">
        <v>739</v>
      </c>
      <c r="B502" s="509" t="str">
        <f t="shared" si="10"/>
        <v>Ar siekiama, kad pagal priemonę finansuojami projektai būtų vykdomi su partneriais?</v>
      </c>
      <c r="C502" s="672" t="str">
        <f>'10'!J41</f>
        <v>Taip, privalomai</v>
      </c>
    </row>
    <row r="503" spans="1:3" x14ac:dyDescent="0.3">
      <c r="A503" s="2" t="s">
        <v>740</v>
      </c>
      <c r="B503" s="509" t="str">
        <f t="shared" si="10"/>
        <v>Pasirinkimo pagrindimas</v>
      </c>
      <c r="C503" s="677" t="str">
        <f>'10'!J42</f>
        <v>Reikalavimas bus taikomas kaip tinkamumo sąlyga.</v>
      </c>
    </row>
    <row r="504" spans="1:3" x14ac:dyDescent="0.3">
      <c r="A504" s="2" t="s">
        <v>741</v>
      </c>
      <c r="B504" s="680" t="str">
        <f t="shared" si="10"/>
        <v>Inovacijų principas:</v>
      </c>
      <c r="C504" s="676"/>
    </row>
    <row r="505" spans="1:3" ht="28.8" x14ac:dyDescent="0.3">
      <c r="A505" s="2" t="s">
        <v>742</v>
      </c>
      <c r="B505" s="509" t="str">
        <f t="shared" si="10"/>
        <v>Ar siekiama, kad pagal priemonę finansuojami projektai būtų skirti inovacijoms vietos lygiu diegti?</v>
      </c>
      <c r="C505" s="672" t="str">
        <f>'10'!J44</f>
        <v>Taip, privalomai</v>
      </c>
    </row>
    <row r="506" spans="1:3" x14ac:dyDescent="0.3">
      <c r="A506" s="2" t="s">
        <v>743</v>
      </c>
      <c r="B506" s="509" t="str">
        <f t="shared" si="10"/>
        <v>Pasirinkimo pagrindimas</v>
      </c>
      <c r="C506" s="677" t="str">
        <f>'10'!J45</f>
        <v>Reikalavimas bus taikomas kaip tinkamumo sąlyga.</v>
      </c>
    </row>
    <row r="507" spans="1:3" ht="28.8" x14ac:dyDescent="0.3">
      <c r="A507" s="2" t="s">
        <v>744</v>
      </c>
      <c r="B507" s="509" t="str">
        <f t="shared" si="10"/>
        <v>Planuojama paremti projektų, skirtų inovacijoms vietos lygiu diegti (rodiklis L710)</v>
      </c>
      <c r="C507" s="679">
        <f>'10'!J46</f>
        <v>4</v>
      </c>
    </row>
    <row r="508" spans="1:3" x14ac:dyDescent="0.3">
      <c r="A508" s="2" t="s">
        <v>745</v>
      </c>
      <c r="B508" s="680" t="str">
        <f t="shared" si="10"/>
        <v>Lyčių lygybė ir nediskriminavimas:</v>
      </c>
      <c r="C508" s="676"/>
    </row>
    <row r="509" spans="1:3" ht="28.8" x14ac:dyDescent="0.3">
      <c r="A509" s="2" t="s">
        <v>746</v>
      </c>
      <c r="B509" s="509" t="str">
        <f t="shared" si="10"/>
        <v>Ar pagal priemonę finansuojami projektai, skirti lyčių lygybei ir nediskriminavimui?</v>
      </c>
      <c r="C509" s="672" t="str">
        <f>'10'!J48</f>
        <v>Taip</v>
      </c>
    </row>
    <row r="510" spans="1:3" ht="72" x14ac:dyDescent="0.3">
      <c r="A510" s="2" t="s">
        <v>747</v>
      </c>
      <c r="B510" s="509" t="str">
        <f t="shared" si="10"/>
        <v>Pasirinkimo pagrindimas (jei taip, kaip bus užtikrinta)</v>
      </c>
      <c r="C510" s="677" t="str">
        <f>'10'!J49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511" spans="1:3" x14ac:dyDescent="0.3">
      <c r="A511" s="2" t="s">
        <v>748</v>
      </c>
      <c r="B511" s="680" t="str">
        <f t="shared" si="10"/>
        <v>Jaunimas:</v>
      </c>
      <c r="C511" s="676"/>
    </row>
    <row r="512" spans="1:3" x14ac:dyDescent="0.3">
      <c r="A512" s="2" t="s">
        <v>749</v>
      </c>
      <c r="B512" s="509" t="str">
        <f t="shared" si="10"/>
        <v>Ar pagal priemonę finansuojami projektai, skirti jaunimui?</v>
      </c>
      <c r="C512" s="672" t="str">
        <f>'10'!J51</f>
        <v>Taip</v>
      </c>
    </row>
    <row r="513" spans="1:3" ht="43.2" x14ac:dyDescent="0.3">
      <c r="A513" s="2" t="s">
        <v>750</v>
      </c>
      <c r="B513" s="509" t="str">
        <f t="shared" si="10"/>
        <v>Pasirinkimo pagrindimas (jei taip, kaip bus užtikrinta)</v>
      </c>
      <c r="C513" s="677" t="str">
        <f>'10'!J52</f>
        <v>Dalyvauti projektinėse veiklose ir juos teikti bus sudarytos vienodos sąlygos visiems, netaikant pozityvios diskriminacijos pagal amžių.</v>
      </c>
    </row>
    <row r="514" spans="1:3" x14ac:dyDescent="0.3">
      <c r="A514" s="2" t="s">
        <v>751</v>
      </c>
      <c r="B514" s="675" t="str">
        <f t="shared" si="10"/>
        <v>E dalis. Priemonės rezultato rodikliai:</v>
      </c>
      <c r="C514" s="676"/>
    </row>
    <row r="515" spans="1:3" x14ac:dyDescent="0.3">
      <c r="A515" s="2" t="s">
        <v>752</v>
      </c>
      <c r="B515" s="680" t="str">
        <f t="shared" si="10"/>
        <v>SP rezultato rodiklių taikymas priemonei:</v>
      </c>
      <c r="C515" s="676"/>
    </row>
    <row r="516" spans="1:3" x14ac:dyDescent="0.3">
      <c r="A516" s="2" t="s">
        <v>753</v>
      </c>
      <c r="B516" s="681" t="str">
        <f t="shared" si="10"/>
        <v>R.3</v>
      </c>
      <c r="C516" s="687" t="str">
        <f>'10'!J55</f>
        <v>Ne</v>
      </c>
    </row>
    <row r="517" spans="1:3" x14ac:dyDescent="0.3">
      <c r="A517" s="2" t="s">
        <v>754</v>
      </c>
      <c r="B517" s="681" t="str">
        <f t="shared" si="10"/>
        <v>R.37</v>
      </c>
      <c r="C517" s="687" t="str">
        <f>'10'!J56</f>
        <v>Taip</v>
      </c>
    </row>
    <row r="518" spans="1:3" x14ac:dyDescent="0.3">
      <c r="A518" s="2" t="s">
        <v>755</v>
      </c>
      <c r="B518" s="681" t="str">
        <f t="shared" si="10"/>
        <v>R.39</v>
      </c>
      <c r="C518" s="687" t="str">
        <f>'10'!J57</f>
        <v>Ne</v>
      </c>
    </row>
    <row r="519" spans="1:3" x14ac:dyDescent="0.3">
      <c r="A519" s="2" t="s">
        <v>756</v>
      </c>
      <c r="B519" s="681" t="str">
        <f t="shared" si="10"/>
        <v>R.41</v>
      </c>
      <c r="C519" s="687" t="str">
        <f>'10'!J58</f>
        <v>Ne</v>
      </c>
    </row>
    <row r="520" spans="1:3" x14ac:dyDescent="0.3">
      <c r="A520" s="2" t="s">
        <v>757</v>
      </c>
      <c r="B520" s="681" t="str">
        <f t="shared" si="10"/>
        <v>R.42</v>
      </c>
      <c r="C520" s="687" t="str">
        <f>'10'!J59</f>
        <v>Ne</v>
      </c>
    </row>
    <row r="521" spans="1:3" x14ac:dyDescent="0.3">
      <c r="A521" s="2" t="s">
        <v>758</v>
      </c>
      <c r="B521" s="680" t="str">
        <f t="shared" si="10"/>
        <v>VPS rodiklių taikymas priemonei:</v>
      </c>
      <c r="C521" s="688"/>
    </row>
    <row r="522" spans="1:3" x14ac:dyDescent="0.3">
      <c r="A522" s="2" t="s">
        <v>759</v>
      </c>
      <c r="B522" s="681" t="str">
        <f t="shared" si="10"/>
        <v>TRAK-P.1</v>
      </c>
      <c r="C522" s="687" t="str">
        <f>'10'!J61</f>
        <v>Ne</v>
      </c>
    </row>
    <row r="523" spans="1:3" x14ac:dyDescent="0.3">
      <c r="A523" s="2" t="s">
        <v>760</v>
      </c>
      <c r="B523" s="681" t="str">
        <f t="shared" si="10"/>
        <v>TRAK-P.2</v>
      </c>
      <c r="C523" s="687" t="str">
        <f>'10'!J62</f>
        <v>Ne</v>
      </c>
    </row>
    <row r="524" spans="1:3" x14ac:dyDescent="0.3">
      <c r="A524" s="2" t="s">
        <v>761</v>
      </c>
      <c r="B524" s="681" t="str">
        <f t="shared" si="10"/>
        <v>TRAK-P.3</v>
      </c>
      <c r="C524" s="687" t="str">
        <f>'10'!J63</f>
        <v>Ne</v>
      </c>
    </row>
    <row r="525" spans="1:3" x14ac:dyDescent="0.3">
      <c r="A525" s="2" t="s">
        <v>762</v>
      </c>
      <c r="B525" s="681" t="str">
        <f t="shared" si="10"/>
        <v>TRAK-P.4</v>
      </c>
      <c r="C525" s="687" t="str">
        <f>'10'!J64</f>
        <v>Ne</v>
      </c>
    </row>
    <row r="526" spans="1:3" x14ac:dyDescent="0.3">
      <c r="A526" s="2" t="s">
        <v>763</v>
      </c>
      <c r="B526" s="681" t="str">
        <f t="shared" si="10"/>
        <v>TRAK-P.5</v>
      </c>
      <c r="C526" s="687" t="str">
        <f>'10'!J65</f>
        <v>Ne</v>
      </c>
    </row>
    <row r="527" spans="1:3" x14ac:dyDescent="0.3">
      <c r="A527" s="2" t="s">
        <v>764</v>
      </c>
      <c r="B527" s="681" t="str">
        <f t="shared" si="10"/>
        <v>TRAK-P.6</v>
      </c>
      <c r="C527" s="687" t="str">
        <f>'10'!J66</f>
        <v>Ne</v>
      </c>
    </row>
    <row r="528" spans="1:3" x14ac:dyDescent="0.3">
      <c r="A528" s="2" t="s">
        <v>765</v>
      </c>
      <c r="B528" s="681" t="str">
        <f t="shared" si="10"/>
        <v>TRAK-P.7</v>
      </c>
      <c r="C528" s="687" t="str">
        <f>'10'!J67</f>
        <v>Ne</v>
      </c>
    </row>
    <row r="529" spans="1:3" x14ac:dyDescent="0.3">
      <c r="A529" s="2" t="s">
        <v>766</v>
      </c>
      <c r="B529" s="681" t="str">
        <f t="shared" si="10"/>
        <v>TRAK-P.8</v>
      </c>
      <c r="C529" s="687" t="str">
        <f>'10'!J68</f>
        <v>Ne</v>
      </c>
    </row>
    <row r="530" spans="1:3" x14ac:dyDescent="0.3">
      <c r="A530" s="2" t="s">
        <v>767</v>
      </c>
      <c r="B530" s="681" t="str">
        <f t="shared" si="10"/>
        <v>TRAK-P.9</v>
      </c>
      <c r="C530" s="687" t="str">
        <f>'10'!J69</f>
        <v>Ne</v>
      </c>
    </row>
    <row r="531" spans="1:3" x14ac:dyDescent="0.3">
      <c r="A531" s="2" t="s">
        <v>768</v>
      </c>
      <c r="B531" s="683" t="str">
        <f t="shared" si="10"/>
        <v>TRAK-P.10</v>
      </c>
      <c r="C531" s="689" t="str">
        <f>'10'!J70</f>
        <v>Ne</v>
      </c>
    </row>
    <row r="532" spans="1:3" x14ac:dyDescent="0.3">
      <c r="A532" s="2" t="s">
        <v>769</v>
      </c>
      <c r="B532" s="675" t="str">
        <f t="shared" si="10"/>
        <v>F dalis. Pagal priemonę remiamų projektų pobūdis:</v>
      </c>
      <c r="C532" s="676"/>
    </row>
    <row r="533" spans="1:3" x14ac:dyDescent="0.3">
      <c r="A533" s="2" t="s">
        <v>770</v>
      </c>
      <c r="B533" s="671" t="str">
        <f t="shared" ref="B533:B542" si="11">B456</f>
        <v>Remiami pelno projektai</v>
      </c>
      <c r="C533" s="672" t="str">
        <f>'10'!J72</f>
        <v>Taip</v>
      </c>
    </row>
    <row r="534" spans="1:3" ht="57.6" x14ac:dyDescent="0.3">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Ne</v>
      </c>
    </row>
    <row r="535" spans="1:3" ht="57.6" x14ac:dyDescent="0.3">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3.2" x14ac:dyDescent="0.3">
      <c r="A536" s="2" t="s">
        <v>773</v>
      </c>
      <c r="B536" s="673" t="str">
        <f t="shared" si="11"/>
        <v>Remiami projektai, susiję su atsinaujinančios energijos gamybos pajėgumais, įskaitant biologinę (aktualu rodikliui L803)</v>
      </c>
      <c r="C536" s="672" t="str">
        <f>'10'!J75</f>
        <v>Ne</v>
      </c>
    </row>
    <row r="537" spans="1:3" ht="43.2" x14ac:dyDescent="0.3">
      <c r="A537" s="2" t="s">
        <v>774</v>
      </c>
      <c r="B537" s="673" t="str">
        <f t="shared" si="11"/>
        <v>Remiami projektai, prisidedantys prie aplinkos tvarumo, klimato kaitos švelninimo bei prisitaikymo prie jos tikslų įgyvendinimo kaimo vietovėse (aktualu rodikliui L804)</v>
      </c>
      <c r="C537" s="672" t="str">
        <f>'10'!J76</f>
        <v>Taip</v>
      </c>
    </row>
    <row r="538" spans="1:3" ht="28.8" x14ac:dyDescent="0.3">
      <c r="A538" s="2" t="s">
        <v>775</v>
      </c>
      <c r="B538" s="673" t="str">
        <f t="shared" si="11"/>
        <v>Remiami projektai, kurie kuria darbo vietas (aktualu rodikliui L805)</v>
      </c>
      <c r="C538" s="672" t="str">
        <f>'10'!J77</f>
        <v>Taip</v>
      </c>
    </row>
    <row r="539" spans="1:3" ht="28.8" x14ac:dyDescent="0.3">
      <c r="A539" s="2" t="s">
        <v>776</v>
      </c>
      <c r="B539" s="673" t="str">
        <f t="shared" si="11"/>
        <v>Remiami kaimo verslų, įskaitant bioekonomiką, projektai (aktualu rodikliui L 806)</v>
      </c>
      <c r="C539" s="672" t="str">
        <f>'10'!J78</f>
        <v>Ne</v>
      </c>
    </row>
    <row r="540" spans="1:3" ht="28.8" x14ac:dyDescent="0.3">
      <c r="A540" s="2" t="s">
        <v>777</v>
      </c>
      <c r="B540" s="673" t="str">
        <f t="shared" si="11"/>
        <v>Remiami projektai, susiję su sumanių kaimų strategijomis (aktualu rodikliui L807)</v>
      </c>
      <c r="C540" s="672" t="str">
        <f>'10'!J79</f>
        <v>Ne</v>
      </c>
    </row>
    <row r="541" spans="1:3" ht="28.8" x14ac:dyDescent="0.3">
      <c r="A541" s="2" t="s">
        <v>778</v>
      </c>
      <c r="B541" s="673" t="str">
        <f t="shared" si="11"/>
        <v>Remiami projektai, gerinantys paslaugų prieinamumą ir infrastruktūrą (aktualu rodikliui L808)</v>
      </c>
      <c r="C541" s="672" t="str">
        <f>'10'!J80</f>
        <v>Ne</v>
      </c>
    </row>
    <row r="542" spans="1:3" ht="28.8" x14ac:dyDescent="0.3">
      <c r="A542" s="2" t="s">
        <v>779</v>
      </c>
      <c r="B542" s="673" t="str">
        <f t="shared" si="11"/>
        <v>Remiami socialinės įtraukties projektai (aktualu rodikliui L809)</v>
      </c>
      <c r="C542" s="672" t="str">
        <f>'10'!J81</f>
        <v>Ne</v>
      </c>
    </row>
    <row r="543" spans="1:3" x14ac:dyDescent="0.3">
      <c r="B543" s="649"/>
      <c r="C543" s="685"/>
    </row>
    <row r="544" spans="1:3" x14ac:dyDescent="0.3">
      <c r="A544" s="1"/>
      <c r="B544" s="362"/>
      <c r="C544" s="686" t="str">
        <f>'10'!K6</f>
        <v>8 priemonė</v>
      </c>
    </row>
    <row r="545" spans="1:3" ht="28.8" x14ac:dyDescent="0.3">
      <c r="A545" s="2" t="s">
        <v>188</v>
      </c>
      <c r="B545" s="509" t="str">
        <f>B468</f>
        <v>Priemonės pavadinimas</v>
      </c>
      <c r="C545" s="670" t="str">
        <f>'10'!K7</f>
        <v xml:space="preserve">Vietos gyventojų socialinio aktyvumo bei verslumo skatinimas įtraukiant pažeidžiamas grupes </v>
      </c>
    </row>
    <row r="546" spans="1:3" x14ac:dyDescent="0.3">
      <c r="A546" s="2" t="s">
        <v>189</v>
      </c>
      <c r="B546" s="671" t="str">
        <f t="shared" ref="B546:B609" si="12">B469</f>
        <v>Priemonės rūšis</v>
      </c>
      <c r="C546" s="670" t="str">
        <f>'10'!K8</f>
        <v>Socialinis verslas</v>
      </c>
    </row>
    <row r="547" spans="1:3" x14ac:dyDescent="0.3">
      <c r="A547" s="2" t="s">
        <v>190</v>
      </c>
      <c r="B547" s="671" t="str">
        <f t="shared" si="12"/>
        <v>VVG teritorijos poreikių, kuriuos tenkina priemonė, skaičius</v>
      </c>
      <c r="C547" s="670">
        <f>'10'!K9</f>
        <v>3</v>
      </c>
    </row>
    <row r="548" spans="1:3" x14ac:dyDescent="0.3">
      <c r="A548" s="2" t="s">
        <v>191</v>
      </c>
      <c r="B548" s="671" t="str">
        <f t="shared" si="12"/>
        <v>BŽŪP tikslų, kuriuos įgyvendina priemonė, skaičius</v>
      </c>
      <c r="C548" s="670">
        <f>'10'!K10</f>
        <v>3</v>
      </c>
    </row>
    <row r="549" spans="1:3" ht="57.6" x14ac:dyDescent="0.3">
      <c r="A549" s="2" t="s">
        <v>192</v>
      </c>
      <c r="B549" s="671" t="str">
        <f t="shared" si="12"/>
        <v>Pagrindinis BŽŪP tikslas, kurį įgyvendina VPS priemonė</v>
      </c>
      <c r="C549" s="672" t="str">
        <f>'10'!K11</f>
        <v>SO8. Skatinti užimtumą, augimą, lyčių lygybę, įskaitant moterų dalyvavimą ūkininkavimo veikloje, socialinę įtrauktį ir vietos plėtrą kaimo vietovėse, įskaitant žiedinę bioekonomiką ir tvarią miškininkystę</v>
      </c>
    </row>
    <row r="550" spans="1:3" ht="28.8" x14ac:dyDescent="0.3">
      <c r="A550" s="2" t="s">
        <v>193</v>
      </c>
      <c r="B550" s="673" t="str">
        <f t="shared" si="12"/>
        <v>Ar priemonė prisideda prie 4 konkretaus BŽŪP tikslo? (tikslas nurodytas 5 lape)</v>
      </c>
      <c r="C550" s="672" t="str">
        <f>'10'!K12</f>
        <v>Ne</v>
      </c>
    </row>
    <row r="551" spans="1:3" ht="28.8" x14ac:dyDescent="0.3">
      <c r="A551" s="2" t="s">
        <v>194</v>
      </c>
      <c r="B551" s="673" t="str">
        <f t="shared" si="12"/>
        <v>Ar priemonė prisideda prie 5 konkretaus BŽŪP tikslo? (tikslas nurodytas 5 lape)</v>
      </c>
      <c r="C551" s="672" t="str">
        <f>'10'!K13</f>
        <v>Ne</v>
      </c>
    </row>
    <row r="552" spans="1:3" ht="28.8" x14ac:dyDescent="0.3">
      <c r="A552" s="2" t="s">
        <v>195</v>
      </c>
      <c r="B552" s="673" t="str">
        <f t="shared" si="12"/>
        <v>Ar priemonė prisideda prie 6 konkretaus BŽŪP tikslo? (tikslas nurodytas 5 lape)</v>
      </c>
      <c r="C552" s="672" t="str">
        <f>'10'!K14</f>
        <v>Ne</v>
      </c>
    </row>
    <row r="553" spans="1:3" ht="28.8" x14ac:dyDescent="0.3">
      <c r="A553" s="2" t="s">
        <v>196</v>
      </c>
      <c r="B553" s="673" t="str">
        <f t="shared" si="12"/>
        <v>Ar priemonė prisideda prie 9 konkretaus BŽŪP tikslo? (tikslas nurodytas 5 lape)</v>
      </c>
      <c r="C553" s="672" t="str">
        <f>'10'!K15</f>
        <v>Ne</v>
      </c>
    </row>
    <row r="554" spans="1:3" x14ac:dyDescent="0.3">
      <c r="A554" s="2" t="s">
        <v>94</v>
      </c>
      <c r="B554" s="675" t="str">
        <f t="shared" si="12"/>
        <v>A dalis. Priemonės intervencijos logika:</v>
      </c>
      <c r="C554" s="676"/>
    </row>
    <row r="555" spans="1:3" ht="172.8" x14ac:dyDescent="0.3">
      <c r="A555" s="2" t="s">
        <v>197</v>
      </c>
      <c r="B555" s="673" t="str">
        <f t="shared" si="12"/>
        <v>Priemonės tikslas, ryšys su pagrindiniu BŽŪP tikslu ir VVG teritorijos poreikiais (problemomis ir (arba) potencialu), ryšys su VPS tema (jei taikoma)</v>
      </c>
      <c r="C555" s="677" t="str">
        <f>'10'!K17</f>
        <v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nes verslumo iniciatyvos bus pasitelkiamos socialinėms problemoms spręsti. Bus sudarytos prielaidos integruoti pažeidžiamas gyventojų grupes į visuomenę, teikti kompleksiškas, individualius poreikius atitinkančias paslaugas bendruomenėje ar šeimoje, įtraukimas jaunimas skatinant savanorystę. </v>
      </c>
    </row>
    <row r="556" spans="1:3" ht="57.6" x14ac:dyDescent="0.3">
      <c r="A556" s="2" t="s">
        <v>198</v>
      </c>
      <c r="B556" s="671" t="str">
        <f t="shared" si="12"/>
        <v>Pokytis, kurio siekiama VPS priemone</v>
      </c>
      <c r="C556" s="677" t="str">
        <f>'10'!K18</f>
        <v xml:space="preserve"> Sudarytos prielaidos integruoti pažeidžiamas gyventojų grupes į visuomenę, teikti kompleksiškas, individualius poreikius atitinkančias paslaugas bendruomenėje ar šeimoje, įtrauktas jaunimas skatinant savanorystę. </v>
      </c>
    </row>
    <row r="557" spans="1:3" ht="28.8" x14ac:dyDescent="0.3">
      <c r="A557" s="2" t="s">
        <v>199</v>
      </c>
      <c r="B557" s="509" t="str">
        <f t="shared" si="12"/>
        <v>Kaip priemonė prisidės prie horizontalaus tikslo d įgyvendinimo? (pildoma, jei taikoma)</v>
      </c>
      <c r="C557" s="677" t="str">
        <f>'10'!K19</f>
        <v>Netaikoma.</v>
      </c>
    </row>
    <row r="558" spans="1:3" ht="28.8" x14ac:dyDescent="0.3">
      <c r="A558" s="2" t="s">
        <v>200</v>
      </c>
      <c r="B558" s="509" t="str">
        <f t="shared" si="12"/>
        <v>Kaip priemonė prisidės prie horizontalaus tikslo e įgyvendinimo? (pildoma, jei taikoma)</v>
      </c>
      <c r="C558" s="677" t="str">
        <f>'10'!K20</f>
        <v xml:space="preserve">Netaikoma. </v>
      </c>
    </row>
    <row r="559" spans="1:3" ht="28.8" x14ac:dyDescent="0.3">
      <c r="A559" s="2" t="s">
        <v>201</v>
      </c>
      <c r="B559" s="509" t="str">
        <f t="shared" si="12"/>
        <v>Kaip priemonė prisidės prie horizontalaus tikslo f įgyvendinimo? (pildoma, jei taikoma)</v>
      </c>
      <c r="C559" s="677" t="str">
        <f>'10'!K21</f>
        <v>Netaikoma.</v>
      </c>
    </row>
    <row r="560" spans="1:3" ht="28.8" x14ac:dyDescent="0.3">
      <c r="A560" s="2" t="s">
        <v>202</v>
      </c>
      <c r="B560" s="509" t="str">
        <f t="shared" si="12"/>
        <v>Kaip priemonė prisidės prie horizontalaus tikslo i įgyvendinimo? (pildoma, jei taikoma)</v>
      </c>
      <c r="C560" s="677" t="str">
        <f>'10'!K22</f>
        <v xml:space="preserve">Bus keliamas reikalavimas, kad socialinis verslas  būtų susijęs su sveika gyvensena. </v>
      </c>
    </row>
    <row r="561" spans="1:3" ht="28.8" x14ac:dyDescent="0.3">
      <c r="A561" s="2" t="s">
        <v>203</v>
      </c>
      <c r="B561" s="675" t="str">
        <f t="shared" si="12"/>
        <v>B dalis. Pareiškėjų ir projektų tinkamumo sąlygos, projektų atrankos principai:</v>
      </c>
      <c r="C561" s="676"/>
    </row>
    <row r="562" spans="1:3" ht="28.8" x14ac:dyDescent="0.3">
      <c r="A562" s="2" t="s">
        <v>204</v>
      </c>
      <c r="B562" s="509" t="str">
        <f t="shared" si="12"/>
        <v>Pagal priemonę remiamos veiklos</v>
      </c>
      <c r="C562" s="677" t="str">
        <f>'10'!K24</f>
        <v>Pagal priemonę remiamos viena arba kelios  ekonominės veiklos socialinio verslo pradžiai ar /ir plėtrai.</v>
      </c>
    </row>
    <row r="563" spans="1:3" ht="43.2" x14ac:dyDescent="0.3">
      <c r="A563" s="2" t="s">
        <v>205</v>
      </c>
      <c r="B563" s="671" t="str">
        <f t="shared" si="12"/>
        <v>Tinkami pareiškėjai ir partneriai (jei taikomas reikalavimas projektus įgyvendinti su partneriais)</v>
      </c>
      <c r="C563" s="677" t="str">
        <f>'10'!K25</f>
        <v>NVO, VšĮ ir kitos asociacijos, kurių veikla atitinka NVO apibrėžtį,  registruotos ne mažiau kaip prieš metus VVG teritorijoje teikiant paraišką.</v>
      </c>
    </row>
    <row r="564" spans="1:3" ht="28.8" x14ac:dyDescent="0.3">
      <c r="A564" s="2" t="s">
        <v>206</v>
      </c>
      <c r="B564" s="671" t="str">
        <f t="shared" si="12"/>
        <v>Priemonės tikslinė grupė (pildoma, jei nesutampa su tinkamais pareiškėjais ir (arba) partneriais)</v>
      </c>
      <c r="C564" s="677" t="str">
        <f>'10'!K26</f>
        <v>Socialinio verslo naudos gavėjai ir klientai</v>
      </c>
    </row>
    <row r="565" spans="1:3" ht="28.8" x14ac:dyDescent="0.3">
      <c r="A565" s="2" t="s">
        <v>725</v>
      </c>
      <c r="B565" s="509" t="str">
        <f t="shared" si="12"/>
        <v>Tinkamumo sąlygos pareiškėjams ir projektams</v>
      </c>
      <c r="C565" s="677" t="str">
        <f>'10'!K27</f>
        <v xml:space="preserve">Tinkamumo sąlygos pareiškėjams  ir  vietos projektams bus nurodytos Vietos projektų administravimo taisyklėse. </v>
      </c>
    </row>
    <row r="566" spans="1:3" ht="57.6" x14ac:dyDescent="0.3">
      <c r="A566" s="2" t="s">
        <v>726</v>
      </c>
      <c r="B566" s="673" t="str">
        <f t="shared" si="12"/>
        <v>Projektų atrankos principai</v>
      </c>
      <c r="C566" s="677" t="str">
        <f>'10'!K28</f>
        <v>1.Didesnis tikslinių grupių skaičius. 
2.Kuriamos inovacijos VVG teritorijoje .
Detalus atrankos kriterijų sąrašas bus nustatomas priemonės įgyvendinimo taisyklėse</v>
      </c>
    </row>
    <row r="567" spans="1:3" x14ac:dyDescent="0.3">
      <c r="A567" s="2" t="s">
        <v>727</v>
      </c>
      <c r="B567" s="509" t="str">
        <f t="shared" si="12"/>
        <v>Planuojamų kvietimų teikti paraiškas skaičius</v>
      </c>
      <c r="C567" s="670">
        <f>'10'!K29</f>
        <v>2</v>
      </c>
    </row>
    <row r="568" spans="1:3" x14ac:dyDescent="0.3">
      <c r="A568" s="2" t="s">
        <v>728</v>
      </c>
      <c r="B568" s="651" t="str">
        <f t="shared" si="12"/>
        <v>C dalis. Paramos dydžiai:</v>
      </c>
      <c r="C568" s="676"/>
    </row>
    <row r="569" spans="1:3" x14ac:dyDescent="0.3">
      <c r="A569" s="2" t="s">
        <v>729</v>
      </c>
      <c r="B569" s="509" t="str">
        <f t="shared" si="12"/>
        <v>Didžiausia paramos suma vietos projektui, Eur</v>
      </c>
      <c r="C569" s="677">
        <f>'10'!K31</f>
        <v>100000</v>
      </c>
    </row>
    <row r="570" spans="1:3" x14ac:dyDescent="0.3">
      <c r="A570" s="2" t="s">
        <v>730</v>
      </c>
      <c r="B570" s="509" t="str">
        <f t="shared" si="12"/>
        <v xml:space="preserve">Paramos lyginamoji dalis, proc. </v>
      </c>
      <c r="C570" s="677" t="str">
        <f>'10'!K32</f>
        <v>iki 95</v>
      </c>
    </row>
    <row r="571" spans="1:3" x14ac:dyDescent="0.3">
      <c r="A571" s="2" t="s">
        <v>731</v>
      </c>
      <c r="B571" s="509" t="str">
        <f t="shared" si="12"/>
        <v>Planuojama paramos suma priemonei, Eur</v>
      </c>
      <c r="C571" s="678">
        <f>'10'!K33</f>
        <v>200000</v>
      </c>
    </row>
    <row r="572" spans="1:3" x14ac:dyDescent="0.3">
      <c r="A572" s="2" t="s">
        <v>732</v>
      </c>
      <c r="B572" s="509" t="str">
        <f t="shared" si="12"/>
        <v>Planuojama paremti projektų (rodiklis L700)</v>
      </c>
      <c r="C572" s="679">
        <f>'10'!K34</f>
        <v>2</v>
      </c>
    </row>
    <row r="573" spans="1:3" ht="43.2" x14ac:dyDescent="0.3">
      <c r="A573" s="2" t="s">
        <v>733</v>
      </c>
      <c r="B573" s="509" t="str">
        <f t="shared" si="12"/>
        <v>Paaiškinimas, kaip nustatyta rodiklio L700 reikšmė</v>
      </c>
      <c r="C573" s="677" t="str">
        <f>'10'!K35</f>
        <v xml:space="preserve">Pagal priemonę planuojamų paremti projektų skaičius apskaičiuotas pagal maksimalią galimą paramos sumą vienam projektui. </v>
      </c>
    </row>
    <row r="574" spans="1:3" ht="28.8" x14ac:dyDescent="0.3">
      <c r="A574" s="2" t="s">
        <v>734</v>
      </c>
      <c r="B574" s="651" t="str">
        <f t="shared" si="12"/>
        <v>D dalis. Priemonės indėlis į ES ir nacionalinių horizontaliųjų principų įgyvendinimą:</v>
      </c>
      <c r="C574" s="676"/>
    </row>
    <row r="575" spans="1:3" x14ac:dyDescent="0.3">
      <c r="A575" s="2" t="s">
        <v>735</v>
      </c>
      <c r="B575" s="680" t="str">
        <f t="shared" si="12"/>
        <v>Subregioninės vietovės principas:</v>
      </c>
      <c r="C575" s="676"/>
    </row>
    <row r="576" spans="1:3" ht="28.8" x14ac:dyDescent="0.3">
      <c r="A576" s="2" t="s">
        <v>736</v>
      </c>
      <c r="B576" s="509" t="str">
        <f t="shared" si="12"/>
        <v>Ar siekiama, kad pagal priemonę finansuojami projektai apimtų visas VVG teritorijos seniūnijas?</v>
      </c>
      <c r="C576" s="672" t="str">
        <f>'10'!K38</f>
        <v>Ne</v>
      </c>
    </row>
    <row r="577" spans="1:3" ht="57.6" x14ac:dyDescent="0.3">
      <c r="A577" s="2" t="s">
        <v>737</v>
      </c>
      <c r="B577" s="509" t="str">
        <f t="shared" si="12"/>
        <v>Pasirinkimo pagrindimas</v>
      </c>
      <c r="C577" s="677" t="str">
        <f>'10'!K39</f>
        <v>Atsižvelgiant į suplanuotą priemonei lėšų sumą ir planuojamą finansuoti projektų skaičių, nerealu, kad  projekto veiklos apimtų visas 8 seniūnijas, tačiau veiklos vykdymo, paslaugų teikimas gali apimti visą VVG teritoriją.</v>
      </c>
    </row>
    <row r="578" spans="1:3" x14ac:dyDescent="0.3">
      <c r="A578" s="2" t="s">
        <v>738</v>
      </c>
      <c r="B578" s="680" t="str">
        <f t="shared" si="12"/>
        <v>Partnerystės principas:</v>
      </c>
      <c r="C578" s="676"/>
    </row>
    <row r="579" spans="1:3" ht="28.8" x14ac:dyDescent="0.3">
      <c r="A579" s="2" t="s">
        <v>739</v>
      </c>
      <c r="B579" s="509" t="str">
        <f t="shared" si="12"/>
        <v>Ar siekiama, kad pagal priemonę finansuojami projektai būtų vykdomi su partneriais?</v>
      </c>
      <c r="C579" s="672" t="str">
        <f>'10'!K41</f>
        <v>Taip, privalomai</v>
      </c>
    </row>
    <row r="580" spans="1:3" x14ac:dyDescent="0.3">
      <c r="A580" s="2" t="s">
        <v>740</v>
      </c>
      <c r="B580" s="509" t="str">
        <f t="shared" si="12"/>
        <v>Pasirinkimo pagrindimas</v>
      </c>
      <c r="C580" s="677" t="str">
        <f>'10'!K42</f>
        <v>Reikalavimas bus taikomas kaip tinkamumo sąlyga.</v>
      </c>
    </row>
    <row r="581" spans="1:3" x14ac:dyDescent="0.3">
      <c r="A581" s="2" t="s">
        <v>741</v>
      </c>
      <c r="B581" s="680" t="str">
        <f t="shared" si="12"/>
        <v>Inovacijų principas:</v>
      </c>
      <c r="C581" s="676"/>
    </row>
    <row r="582" spans="1:3" ht="28.8" x14ac:dyDescent="0.3">
      <c r="A582" s="2" t="s">
        <v>742</v>
      </c>
      <c r="B582" s="509" t="str">
        <f t="shared" si="12"/>
        <v>Ar siekiama, kad pagal priemonę finansuojami projektai būtų skirti inovacijoms vietos lygiu diegti?</v>
      </c>
      <c r="C582" s="672" t="str">
        <f>'10'!K44</f>
        <v>Taip, privalomai</v>
      </c>
    </row>
    <row r="583" spans="1:3" x14ac:dyDescent="0.3">
      <c r="A583" s="2" t="s">
        <v>743</v>
      </c>
      <c r="B583" s="509" t="str">
        <f t="shared" si="12"/>
        <v>Pasirinkimo pagrindimas</v>
      </c>
      <c r="C583" s="677" t="str">
        <f>'10'!K45</f>
        <v>Reikalavimas bus taikomas kaip tinkamumo sąlyga.</v>
      </c>
    </row>
    <row r="584" spans="1:3" ht="28.8" x14ac:dyDescent="0.3">
      <c r="A584" s="2" t="s">
        <v>744</v>
      </c>
      <c r="B584" s="509" t="str">
        <f t="shared" si="12"/>
        <v>Planuojama paremti projektų, skirtų inovacijoms vietos lygiu diegti (rodiklis L710)</v>
      </c>
      <c r="C584" s="679">
        <f>'10'!K46</f>
        <v>2</v>
      </c>
    </row>
    <row r="585" spans="1:3" x14ac:dyDescent="0.3">
      <c r="A585" s="2" t="s">
        <v>745</v>
      </c>
      <c r="B585" s="680" t="str">
        <f t="shared" si="12"/>
        <v>Lyčių lygybė ir nediskriminavimas:</v>
      </c>
      <c r="C585" s="676"/>
    </row>
    <row r="586" spans="1:3" ht="28.8" x14ac:dyDescent="0.3">
      <c r="A586" s="2" t="s">
        <v>746</v>
      </c>
      <c r="B586" s="509" t="str">
        <f t="shared" si="12"/>
        <v>Ar pagal priemonę finansuojami projektai, skirti lyčių lygybei ir nediskriminavimui?</v>
      </c>
      <c r="C586" s="672" t="str">
        <f>'10'!K48</f>
        <v>Taip</v>
      </c>
    </row>
    <row r="587" spans="1:3" ht="72" x14ac:dyDescent="0.3">
      <c r="A587" s="2" t="s">
        <v>747</v>
      </c>
      <c r="B587" s="509" t="str">
        <f t="shared" si="12"/>
        <v>Pasirinkimo pagrindimas (jei taip, kaip bus užtikrinta)</v>
      </c>
      <c r="C587" s="677" t="str">
        <f>'10'!K49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588" spans="1:3" x14ac:dyDescent="0.3">
      <c r="A588" s="2" t="s">
        <v>748</v>
      </c>
      <c r="B588" s="680" t="str">
        <f t="shared" si="12"/>
        <v>Jaunimas:</v>
      </c>
      <c r="C588" s="676"/>
    </row>
    <row r="589" spans="1:3" x14ac:dyDescent="0.3">
      <c r="A589" s="2" t="s">
        <v>749</v>
      </c>
      <c r="B589" s="509" t="str">
        <f t="shared" si="12"/>
        <v>Ar pagal priemonę finansuojami projektai, skirti jaunimui?</v>
      </c>
      <c r="C589" s="672" t="str">
        <f>'10'!K51</f>
        <v>Taip</v>
      </c>
    </row>
    <row r="590" spans="1:3" ht="43.2" x14ac:dyDescent="0.3">
      <c r="A590" s="2" t="s">
        <v>750</v>
      </c>
      <c r="B590" s="509" t="str">
        <f t="shared" si="12"/>
        <v>Pasirinkimo pagrindimas (jei taip, kaip bus užtikrinta)</v>
      </c>
      <c r="C590" s="677" t="str">
        <f>'10'!K52</f>
        <v>Dalyvauti projektinėse veiklose ir juos teikti bus sudarytos vienodos sąlygos visiems, netaikant pozityvios diskriminacijos pagal amžių.</v>
      </c>
    </row>
    <row r="591" spans="1:3" x14ac:dyDescent="0.3">
      <c r="A591" s="2" t="s">
        <v>751</v>
      </c>
      <c r="B591" s="675" t="str">
        <f t="shared" si="12"/>
        <v>E dalis. Priemonės rezultato rodikliai:</v>
      </c>
      <c r="C591" s="676"/>
    </row>
    <row r="592" spans="1:3" x14ac:dyDescent="0.3">
      <c r="A592" s="2" t="s">
        <v>752</v>
      </c>
      <c r="B592" s="680" t="str">
        <f t="shared" si="12"/>
        <v>SP rezultato rodiklių taikymas priemonei:</v>
      </c>
      <c r="C592" s="676"/>
    </row>
    <row r="593" spans="1:3" x14ac:dyDescent="0.3">
      <c r="A593" s="2" t="s">
        <v>753</v>
      </c>
      <c r="B593" s="681" t="str">
        <f t="shared" si="12"/>
        <v>R.3</v>
      </c>
      <c r="C593" s="687" t="str">
        <f>'10'!K55</f>
        <v>Ne</v>
      </c>
    </row>
    <row r="594" spans="1:3" x14ac:dyDescent="0.3">
      <c r="A594" s="2" t="s">
        <v>754</v>
      </c>
      <c r="B594" s="681" t="str">
        <f t="shared" si="12"/>
        <v>R.37</v>
      </c>
      <c r="C594" s="687" t="str">
        <f>'10'!K56</f>
        <v>Ne</v>
      </c>
    </row>
    <row r="595" spans="1:3" x14ac:dyDescent="0.3">
      <c r="A595" s="2" t="s">
        <v>755</v>
      </c>
      <c r="B595" s="681" t="str">
        <f t="shared" si="12"/>
        <v>R.39</v>
      </c>
      <c r="C595" s="687" t="str">
        <f>'10'!K57</f>
        <v>Ne</v>
      </c>
    </row>
    <row r="596" spans="1:3" x14ac:dyDescent="0.3">
      <c r="A596" s="2" t="s">
        <v>756</v>
      </c>
      <c r="B596" s="681" t="str">
        <f t="shared" si="12"/>
        <v>R.41</v>
      </c>
      <c r="C596" s="687" t="str">
        <f>'10'!K58</f>
        <v>Ne</v>
      </c>
    </row>
    <row r="597" spans="1:3" x14ac:dyDescent="0.3">
      <c r="A597" s="2" t="s">
        <v>757</v>
      </c>
      <c r="B597" s="681" t="str">
        <f t="shared" si="12"/>
        <v>R.42</v>
      </c>
      <c r="C597" s="687" t="str">
        <f>'10'!K59</f>
        <v>Taip</v>
      </c>
    </row>
    <row r="598" spans="1:3" x14ac:dyDescent="0.3">
      <c r="A598" s="2" t="s">
        <v>758</v>
      </c>
      <c r="B598" s="680" t="str">
        <f t="shared" si="12"/>
        <v>VPS rodiklių taikymas priemonei:</v>
      </c>
      <c r="C598" s="688"/>
    </row>
    <row r="599" spans="1:3" x14ac:dyDescent="0.3">
      <c r="A599" s="2" t="s">
        <v>759</v>
      </c>
      <c r="B599" s="681" t="str">
        <f t="shared" si="12"/>
        <v>TRAK-P.1</v>
      </c>
      <c r="C599" s="687" t="str">
        <f>'10'!K61</f>
        <v>Ne</v>
      </c>
    </row>
    <row r="600" spans="1:3" x14ac:dyDescent="0.3">
      <c r="A600" s="2" t="s">
        <v>760</v>
      </c>
      <c r="B600" s="681" t="str">
        <f t="shared" si="12"/>
        <v>TRAK-P.2</v>
      </c>
      <c r="C600" s="687" t="str">
        <f>'10'!K62</f>
        <v>Ne</v>
      </c>
    </row>
    <row r="601" spans="1:3" x14ac:dyDescent="0.3">
      <c r="A601" s="2" t="s">
        <v>761</v>
      </c>
      <c r="B601" s="681" t="str">
        <f t="shared" si="12"/>
        <v>TRAK-P.3</v>
      </c>
      <c r="C601" s="687" t="str">
        <f>'10'!K63</f>
        <v>Ne</v>
      </c>
    </row>
    <row r="602" spans="1:3" x14ac:dyDescent="0.3">
      <c r="A602" s="2" t="s">
        <v>762</v>
      </c>
      <c r="B602" s="681" t="str">
        <f t="shared" si="12"/>
        <v>TRAK-P.4</v>
      </c>
      <c r="C602" s="687" t="str">
        <f>'10'!K64</f>
        <v>Ne</v>
      </c>
    </row>
    <row r="603" spans="1:3" x14ac:dyDescent="0.3">
      <c r="A603" s="2" t="s">
        <v>763</v>
      </c>
      <c r="B603" s="681" t="str">
        <f t="shared" si="12"/>
        <v>TRAK-P.5</v>
      </c>
      <c r="C603" s="687" t="str">
        <f>'10'!K65</f>
        <v>Ne</v>
      </c>
    </row>
    <row r="604" spans="1:3" x14ac:dyDescent="0.3">
      <c r="A604" s="2" t="s">
        <v>764</v>
      </c>
      <c r="B604" s="681" t="str">
        <f t="shared" si="12"/>
        <v>TRAK-P.6</v>
      </c>
      <c r="C604" s="687" t="str">
        <f>'10'!K66</f>
        <v>Ne</v>
      </c>
    </row>
    <row r="605" spans="1:3" x14ac:dyDescent="0.3">
      <c r="A605" s="2" t="s">
        <v>765</v>
      </c>
      <c r="B605" s="681" t="str">
        <f t="shared" si="12"/>
        <v>TRAK-P.7</v>
      </c>
      <c r="C605" s="687" t="str">
        <f>'10'!K67</f>
        <v>Ne</v>
      </c>
    </row>
    <row r="606" spans="1:3" x14ac:dyDescent="0.3">
      <c r="A606" s="2" t="s">
        <v>766</v>
      </c>
      <c r="B606" s="681" t="str">
        <f t="shared" si="12"/>
        <v>TRAK-P.8</v>
      </c>
      <c r="C606" s="687" t="str">
        <f>'10'!K68</f>
        <v>Ne</v>
      </c>
    </row>
    <row r="607" spans="1:3" x14ac:dyDescent="0.3">
      <c r="A607" s="2" t="s">
        <v>767</v>
      </c>
      <c r="B607" s="681" t="str">
        <f t="shared" si="12"/>
        <v>TRAK-P.9</v>
      </c>
      <c r="C607" s="687" t="str">
        <f>'10'!K69</f>
        <v>Ne</v>
      </c>
    </row>
    <row r="608" spans="1:3" x14ac:dyDescent="0.3">
      <c r="A608" s="2" t="s">
        <v>768</v>
      </c>
      <c r="B608" s="683" t="str">
        <f t="shared" si="12"/>
        <v>TRAK-P.10</v>
      </c>
      <c r="C608" s="689" t="str">
        <f>'10'!K70</f>
        <v>Ne</v>
      </c>
    </row>
    <row r="609" spans="1:3" x14ac:dyDescent="0.3">
      <c r="A609" s="2" t="s">
        <v>769</v>
      </c>
      <c r="B609" s="675" t="str">
        <f t="shared" si="12"/>
        <v>F dalis. Pagal priemonę remiamų projektų pobūdis:</v>
      </c>
      <c r="C609" s="676"/>
    </row>
    <row r="610" spans="1:3" x14ac:dyDescent="0.3">
      <c r="A610" s="2" t="s">
        <v>770</v>
      </c>
      <c r="B610" s="671" t="str">
        <f t="shared" ref="B610:B619" si="13">B533</f>
        <v>Remiami pelno projektai</v>
      </c>
      <c r="C610" s="672" t="str">
        <f>'10'!K72</f>
        <v>Ne</v>
      </c>
    </row>
    <row r="611" spans="1:3" ht="57.6" x14ac:dyDescent="0.3">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Ne</v>
      </c>
    </row>
    <row r="612" spans="1:3" ht="57.6" x14ac:dyDescent="0.3">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3.2" x14ac:dyDescent="0.3">
      <c r="A613" s="2" t="s">
        <v>773</v>
      </c>
      <c r="B613" s="673" t="str">
        <f t="shared" si="13"/>
        <v>Remiami projektai, susiję su atsinaujinančios energijos gamybos pajėgumais, įskaitant biologinę (aktualu rodikliui L803)</v>
      </c>
      <c r="C613" s="672" t="str">
        <f>'10'!K75</f>
        <v>Ne</v>
      </c>
    </row>
    <row r="614" spans="1:3" ht="43.2" x14ac:dyDescent="0.3">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28.8" x14ac:dyDescent="0.3">
      <c r="A615" s="2" t="s">
        <v>775</v>
      </c>
      <c r="B615" s="673" t="str">
        <f t="shared" si="13"/>
        <v>Remiami projektai, kurie kuria darbo vietas (aktualu rodikliui L805)</v>
      </c>
      <c r="C615" s="672" t="str">
        <f>'10'!K77</f>
        <v>Taip</v>
      </c>
    </row>
    <row r="616" spans="1:3" ht="28.8" x14ac:dyDescent="0.3">
      <c r="A616" s="2" t="s">
        <v>776</v>
      </c>
      <c r="B616" s="673" t="str">
        <f t="shared" si="13"/>
        <v>Remiami kaimo verslų, įskaitant bioekonomiką, projektai (aktualu rodikliui L 806)</v>
      </c>
      <c r="C616" s="672" t="str">
        <f>'10'!K78</f>
        <v>Ne</v>
      </c>
    </row>
    <row r="617" spans="1:3" ht="28.8" x14ac:dyDescent="0.3">
      <c r="A617" s="2" t="s">
        <v>777</v>
      </c>
      <c r="B617" s="673" t="str">
        <f t="shared" si="13"/>
        <v>Remiami projektai, susiję su sumanių kaimų strategijomis (aktualu rodikliui L807)</v>
      </c>
      <c r="C617" s="672" t="str">
        <f>'10'!K79</f>
        <v>Ne</v>
      </c>
    </row>
    <row r="618" spans="1:3" ht="28.8" x14ac:dyDescent="0.3">
      <c r="A618" s="2" t="s">
        <v>778</v>
      </c>
      <c r="B618" s="673" t="str">
        <f t="shared" si="13"/>
        <v>Remiami projektai, gerinantys paslaugų prieinamumą ir infrastruktūrą (aktualu rodikliui L808)</v>
      </c>
      <c r="C618" s="672" t="str">
        <f>'10'!K80</f>
        <v>Ne</v>
      </c>
    </row>
    <row r="619" spans="1:3" ht="28.8" x14ac:dyDescent="0.3">
      <c r="A619" s="2" t="s">
        <v>779</v>
      </c>
      <c r="B619" s="673" t="str">
        <f t="shared" si="13"/>
        <v>Remiami socialinės įtraukties projektai (aktualu rodikliui L809)</v>
      </c>
      <c r="C619" s="672" t="str">
        <f>'10'!K81</f>
        <v>Taip</v>
      </c>
    </row>
    <row r="620" spans="1:3" x14ac:dyDescent="0.3">
      <c r="B620" s="649"/>
      <c r="C620" s="685"/>
    </row>
    <row r="621" spans="1:3" x14ac:dyDescent="0.3">
      <c r="A621" s="1"/>
      <c r="B621" s="362"/>
      <c r="C621" s="686" t="str">
        <f>'10'!L6</f>
        <v>9 priemonė</v>
      </c>
    </row>
    <row r="622" spans="1:3" x14ac:dyDescent="0.3">
      <c r="A622" s="2" t="s">
        <v>188</v>
      </c>
      <c r="B622" s="509" t="str">
        <f>B545</f>
        <v>Priemonės pavadinimas</v>
      </c>
      <c r="C622" s="670" t="str">
        <f>'10'!L7</f>
        <v>Bendruomeninio verslo kūrimas skatinant savanorystę</v>
      </c>
    </row>
    <row r="623" spans="1:3" x14ac:dyDescent="0.3">
      <c r="A623" s="2" t="s">
        <v>189</v>
      </c>
      <c r="B623" s="671" t="str">
        <f t="shared" ref="B623:B686" si="14">B546</f>
        <v>Priemonės rūšis</v>
      </c>
      <c r="C623" s="670" t="str">
        <f>'10'!L8</f>
        <v>Bendruomeninis verslas</v>
      </c>
    </row>
    <row r="624" spans="1:3" x14ac:dyDescent="0.3">
      <c r="A624" s="2" t="s">
        <v>190</v>
      </c>
      <c r="B624" s="671" t="str">
        <f t="shared" si="14"/>
        <v>VVG teritorijos poreikių, kuriuos tenkina priemonė, skaičius</v>
      </c>
      <c r="C624" s="670">
        <f>'10'!L9</f>
        <v>2</v>
      </c>
    </row>
    <row r="625" spans="1:3" x14ac:dyDescent="0.3">
      <c r="A625" s="2" t="s">
        <v>191</v>
      </c>
      <c r="B625" s="671" t="str">
        <f t="shared" si="14"/>
        <v>BŽŪP tikslų, kuriuos įgyvendina priemonė, skaičius</v>
      </c>
      <c r="C625" s="670">
        <f>'10'!L10</f>
        <v>3</v>
      </c>
    </row>
    <row r="626" spans="1:3" ht="43.2" x14ac:dyDescent="0.3">
      <c r="A626" s="2" t="s">
        <v>192</v>
      </c>
      <c r="B626" s="671" t="str">
        <f t="shared" si="14"/>
        <v>Pagrindinis BŽŪP tikslas, kurį įgyvendina VPS priemonė</v>
      </c>
      <c r="C626" s="672" t="str">
        <f>'10'!L11</f>
        <v>SO5. Skatinti tvarų vystymąsi ir veiksmingą gamtos išteklių, pavyzdžiui, vandens, dirvožemio ir oro, valdymą, be kita ko, mažinant priklausomybę nuo cheminių medžiagų</v>
      </c>
    </row>
    <row r="627" spans="1:3" ht="28.8" x14ac:dyDescent="0.3">
      <c r="A627" s="2" t="s">
        <v>193</v>
      </c>
      <c r="B627" s="673" t="str">
        <f t="shared" si="14"/>
        <v>Ar priemonė prisideda prie 4 konkretaus BŽŪP tikslo? (tikslas nurodytas 5 lape)</v>
      </c>
      <c r="C627" s="672" t="str">
        <f>'10'!L12</f>
        <v>Ne</v>
      </c>
    </row>
    <row r="628" spans="1:3" ht="28.8" x14ac:dyDescent="0.3">
      <c r="A628" s="2" t="s">
        <v>194</v>
      </c>
      <c r="B628" s="673" t="str">
        <f t="shared" si="14"/>
        <v>Ar priemonė prisideda prie 5 konkretaus BŽŪP tikslo? (tikslas nurodytas 5 lape)</v>
      </c>
      <c r="C628" s="672" t="str">
        <f>'10'!L13</f>
        <v>Ne</v>
      </c>
    </row>
    <row r="629" spans="1:3" ht="28.8" x14ac:dyDescent="0.3">
      <c r="A629" s="2" t="s">
        <v>195</v>
      </c>
      <c r="B629" s="673" t="str">
        <f t="shared" si="14"/>
        <v>Ar priemonė prisideda prie 6 konkretaus BŽŪP tikslo? (tikslas nurodytas 5 lape)</v>
      </c>
      <c r="C629" s="672" t="str">
        <f>'10'!L14</f>
        <v>Ne</v>
      </c>
    </row>
    <row r="630" spans="1:3" ht="28.8" x14ac:dyDescent="0.3">
      <c r="A630" s="2" t="s">
        <v>196</v>
      </c>
      <c r="B630" s="673" t="str">
        <f t="shared" si="14"/>
        <v>Ar priemonė prisideda prie 9 konkretaus BŽŪP tikslo? (tikslas nurodytas 5 lape)</v>
      </c>
      <c r="C630" s="672" t="str">
        <f>'10'!L15</f>
        <v>Ne</v>
      </c>
    </row>
    <row r="631" spans="1:3" x14ac:dyDescent="0.3">
      <c r="A631" s="2" t="s">
        <v>94</v>
      </c>
      <c r="B631" s="675" t="str">
        <f t="shared" si="14"/>
        <v>A dalis. Priemonės intervencijos logika:</v>
      </c>
      <c r="C631" s="676"/>
    </row>
    <row r="632" spans="1:3" ht="244.8" x14ac:dyDescent="0.3">
      <c r="A632" s="2" t="s">
        <v>197</v>
      </c>
      <c r="B632" s="673" t="str">
        <f t="shared" si="14"/>
        <v>Priemonės tikslas, ryšys su pagrindiniu BŽŪP tikslu ir VVG teritorijos poreikiais (problemomis ir (arba) potencialu), ryšys su VPS tema (jei taikoma)</v>
      </c>
      <c r="C632" s="677" t="str">
        <f>'10'!L17</f>
        <v>Priemonės tikslas – skatinti NVO, yžač bendruomenių,  verslumo iniciatyvas ir kitas veiklas (švietimas, edukacijos, paslaugų teikimas), kurios stiptintų jų materialinę bazę, prisidėtų prie vietos gyventojų užimtmo ir socialinės įtraukties skaitinimo, kuriant galimas ekonominės veiklos iniciatyvas. Priemonė siejasi su BŽŪP tikslu SO8, kadangi bus skatinamas užimtumas, prisidedama prie socialinės įtraukties ir vietos plėtros kaimo vietovėse.
Šia priemone siekiama sudaryti palankesnes sąlygas vietos gyventojams naudotis įvairiomis paslaugomis (R.41) ir skatinti socialinę įtrauktį (R.42) rajone.
 VVG teritorije yra ir aktyvių kaimo bendruomenių, kurios prisideda prie rajono žmonių problemų
sprendimo, turi gebėjimų įgyvendinti projektus, todėl jų gebėjimai galėtų būti išnaudoti kuriant verslumo iniaciatyvas ir skatinant vietos gyventojų užimtumą,
galimybę įsidarbinti ir pan.</v>
      </c>
    </row>
    <row r="633" spans="1:3" ht="72" x14ac:dyDescent="0.3">
      <c r="A633" s="2" t="s">
        <v>198</v>
      </c>
      <c r="B633" s="671" t="str">
        <f t="shared" si="14"/>
        <v>Pokytis, kurio siekiama VPS priemone</v>
      </c>
      <c r="C633" s="677" t="str">
        <f>'10'!L18</f>
        <v xml:space="preserve">Padidėjęs NVO sektoriaus verslumas, gebėjimas pasirūpinti savo bendruomenės nariais; paskatinta sektorių partnerystė; sukurta nauja paslauga pritaikant bent vieną  inovaciją; suaktyvinta savanorystė.
</v>
      </c>
    </row>
    <row r="634" spans="1:3" ht="28.8" x14ac:dyDescent="0.3">
      <c r="A634" s="2" t="s">
        <v>199</v>
      </c>
      <c r="B634" s="509" t="str">
        <f t="shared" si="14"/>
        <v>Kaip priemonė prisidės prie horizontalaus tikslo d įgyvendinimo? (pildoma, jei taikoma)</v>
      </c>
      <c r="C634" s="677">
        <f>'10'!L19</f>
        <v>0</v>
      </c>
    </row>
    <row r="635" spans="1:3" ht="43.2" x14ac:dyDescent="0.3">
      <c r="A635" s="2" t="s">
        <v>200</v>
      </c>
      <c r="B635" s="509" t="str">
        <f t="shared" si="14"/>
        <v>Kaip priemonė prisidės prie horizontalaus tikslo e įgyvendinimo? (pildoma, jei taikoma)</v>
      </c>
      <c r="C635" s="677" t="str">
        <f>'10'!L20</f>
        <v>bus keliamas reikalavimas, kad bendruomeninis verslasbūtų susijęs su tvariu vystymusi; gamtos išteklių naudojimu mažinant priklausomybę nuo cheminių medžiagų.</v>
      </c>
    </row>
    <row r="636" spans="1:3" ht="28.8" x14ac:dyDescent="0.3">
      <c r="A636" s="2" t="s">
        <v>201</v>
      </c>
      <c r="B636" s="509" t="str">
        <f t="shared" si="14"/>
        <v>Kaip priemonė prisidės prie horizontalaus tikslo f įgyvendinimo? (pildoma, jei taikoma)</v>
      </c>
      <c r="C636" s="677" t="str">
        <f>'10'!L21</f>
        <v>Netaikoma.</v>
      </c>
    </row>
    <row r="637" spans="1:3" ht="28.8" x14ac:dyDescent="0.3">
      <c r="A637" s="2" t="s">
        <v>202</v>
      </c>
      <c r="B637" s="509" t="str">
        <f t="shared" si="14"/>
        <v>Kaip priemonė prisidės prie horizontalaus tikslo i įgyvendinimo? (pildoma, jei taikoma)</v>
      </c>
      <c r="C637" s="677" t="str">
        <f>'10'!L22</f>
        <v xml:space="preserve">Bus keliamas reikalavimas, kad socialinis verslas  būtų susijęs su sveika gyvensena. </v>
      </c>
    </row>
    <row r="638" spans="1:3" ht="28.8" x14ac:dyDescent="0.3">
      <c r="A638" s="2" t="s">
        <v>203</v>
      </c>
      <c r="B638" s="675" t="str">
        <f t="shared" si="14"/>
        <v>B dalis. Pareiškėjų ir projektų tinkamumo sąlygos, projektų atrankos principai:</v>
      </c>
      <c r="C638" s="676"/>
    </row>
    <row r="639" spans="1:3" x14ac:dyDescent="0.3">
      <c r="A639" s="2" t="s">
        <v>204</v>
      </c>
      <c r="B639" s="509" t="str">
        <f t="shared" si="14"/>
        <v>Pagal priemonę remiamos veiklos</v>
      </c>
      <c r="C639" s="677">
        <f>'10'!L24</f>
        <v>0</v>
      </c>
    </row>
    <row r="640" spans="1:3" ht="43.2" x14ac:dyDescent="0.3">
      <c r="A640" s="2" t="s">
        <v>205</v>
      </c>
      <c r="B640" s="671" t="str">
        <f t="shared" si="14"/>
        <v>Tinkami pareiškėjai ir partneriai (jei taikomas reikalavimas projektus įgyvendinti su partneriais)</v>
      </c>
      <c r="C640" s="677" t="str">
        <f>'10'!L25</f>
        <v>Bendruomeninės organizacijos, atitinkančios NVO statusą, registruotos ne mažiau kaip prieš metus VVG teritorijoje teikiant paraišką.</v>
      </c>
    </row>
    <row r="641" spans="1:3" ht="28.8" x14ac:dyDescent="0.3">
      <c r="A641" s="2" t="s">
        <v>206</v>
      </c>
      <c r="B641" s="671" t="str">
        <f t="shared" si="14"/>
        <v>Priemonės tikslinė grupė (pildoma, jei nesutampa su tinkamais pareiškėjais ir (arba) partneriais)</v>
      </c>
      <c r="C641" s="677" t="str">
        <f>'10'!L26</f>
        <v>VVG teritorijos bendruomeninės organizacijos, jų atstovai</v>
      </c>
    </row>
    <row r="642" spans="1:3" ht="28.8" x14ac:dyDescent="0.3">
      <c r="A642" s="2" t="s">
        <v>725</v>
      </c>
      <c r="B642" s="509" t="str">
        <f t="shared" si="14"/>
        <v>Tinkamumo sąlygos pareiškėjams ir projektams</v>
      </c>
      <c r="C642" s="677" t="str">
        <f>'10'!L27</f>
        <v xml:space="preserve">Tinkamumo sąlygos pareiškėjams  ir  vietos projektams bus nurodytos Vietos projektų administravimo taisyklėse. </v>
      </c>
    </row>
    <row r="643" spans="1:3" ht="57.6" x14ac:dyDescent="0.3">
      <c r="A643" s="2" t="s">
        <v>726</v>
      </c>
      <c r="B643" s="673" t="str">
        <f t="shared" si="14"/>
        <v>Projektų atrankos principai</v>
      </c>
      <c r="C643" s="677" t="str">
        <f>'10'!L28</f>
        <v>1.	Didesnis savanorių skaičius.
2.	Kuriamos inovacijos VVG teritorijoje.
Detalus atrankos kriterijų sąrašas bus nustatomas priemonės įgyvendinimo taisyklėse</v>
      </c>
    </row>
    <row r="644" spans="1:3" x14ac:dyDescent="0.3">
      <c r="A644" s="2" t="s">
        <v>727</v>
      </c>
      <c r="B644" s="509" t="str">
        <f t="shared" si="14"/>
        <v>Planuojamų kvietimų teikti paraiškas skaičius</v>
      </c>
      <c r="C644" s="670">
        <f>'10'!L29</f>
        <v>1</v>
      </c>
    </row>
    <row r="645" spans="1:3" x14ac:dyDescent="0.3">
      <c r="A645" s="2" t="s">
        <v>728</v>
      </c>
      <c r="B645" s="651" t="str">
        <f t="shared" si="14"/>
        <v>C dalis. Paramos dydžiai:</v>
      </c>
      <c r="C645" s="676"/>
    </row>
    <row r="646" spans="1:3" x14ac:dyDescent="0.3">
      <c r="A646" s="2" t="s">
        <v>729</v>
      </c>
      <c r="B646" s="509" t="str">
        <f t="shared" si="14"/>
        <v>Didžiausia paramos suma vietos projektui, Eur</v>
      </c>
      <c r="C646" s="677">
        <f>'10'!L31</f>
        <v>100000</v>
      </c>
    </row>
    <row r="647" spans="1:3" x14ac:dyDescent="0.3">
      <c r="A647" s="2" t="s">
        <v>730</v>
      </c>
      <c r="B647" s="509" t="str">
        <f t="shared" si="14"/>
        <v xml:space="preserve">Paramos lyginamoji dalis, proc. </v>
      </c>
      <c r="C647" s="677" t="str">
        <f>'10'!L32</f>
        <v>iki 95</v>
      </c>
    </row>
    <row r="648" spans="1:3" x14ac:dyDescent="0.3">
      <c r="A648" s="2" t="s">
        <v>731</v>
      </c>
      <c r="B648" s="509" t="str">
        <f t="shared" si="14"/>
        <v>Planuojama paramos suma priemonei, Eur</v>
      </c>
      <c r="C648" s="678">
        <f>'10'!L33</f>
        <v>100000</v>
      </c>
    </row>
    <row r="649" spans="1:3" x14ac:dyDescent="0.3">
      <c r="A649" s="2" t="s">
        <v>732</v>
      </c>
      <c r="B649" s="509" t="str">
        <f t="shared" si="14"/>
        <v>Planuojama paremti projektų (rodiklis L700)</v>
      </c>
      <c r="C649" s="679">
        <f>'10'!L34</f>
        <v>1</v>
      </c>
    </row>
    <row r="650" spans="1:3" ht="43.2" x14ac:dyDescent="0.3">
      <c r="A650" s="2" t="s">
        <v>733</v>
      </c>
      <c r="B650" s="509" t="str">
        <f t="shared" si="14"/>
        <v>Paaiškinimas, kaip nustatyta rodiklio L700 reikšmė</v>
      </c>
      <c r="C650" s="677" t="str">
        <f>'10'!L35</f>
        <v xml:space="preserve">Pagal priemonę planuojamų paremti projektų skaičius apskaičiuotas pagal maksimalią galimą paramos sumą vienam projektui. </v>
      </c>
    </row>
    <row r="651" spans="1:3" ht="28.8" x14ac:dyDescent="0.3">
      <c r="A651" s="2" t="s">
        <v>734</v>
      </c>
      <c r="B651" s="651" t="str">
        <f t="shared" si="14"/>
        <v>D dalis. Priemonės indėlis į ES ir nacionalinių horizontaliųjų principų įgyvendinimą:</v>
      </c>
      <c r="C651" s="676"/>
    </row>
    <row r="652" spans="1:3" x14ac:dyDescent="0.3">
      <c r="A652" s="2" t="s">
        <v>735</v>
      </c>
      <c r="B652" s="680" t="str">
        <f t="shared" si="14"/>
        <v>Subregioninės vietovės principas:</v>
      </c>
      <c r="C652" s="676"/>
    </row>
    <row r="653" spans="1:3" ht="28.8" x14ac:dyDescent="0.3">
      <c r="A653" s="2" t="s">
        <v>736</v>
      </c>
      <c r="B653" s="509" t="str">
        <f t="shared" si="14"/>
        <v>Ar siekiama, kad pagal priemonę finansuojami projektai apimtų visas VVG teritorijos seniūnijas?</v>
      </c>
      <c r="C653" s="672" t="str">
        <f>'10'!L38</f>
        <v>Ne</v>
      </c>
    </row>
    <row r="654" spans="1:3" ht="57.6" x14ac:dyDescent="0.3">
      <c r="A654" s="2" t="s">
        <v>737</v>
      </c>
      <c r="B654" s="509" t="str">
        <f t="shared" si="14"/>
        <v>Pasirinkimo pagrindimas</v>
      </c>
      <c r="C654" s="677" t="str">
        <f>'10'!L39</f>
        <v>Atsižvelgiant į suplanuotą priemonei lėšų sumą ir planuojamą finansuoti projektų skaičių, nerealu, kad  projekto veiklos apimtų visas 8 seniūnijas, tačiau veiklos vykdymo, paslaugų teikimas gali apimti visą VVG teritoriją.</v>
      </c>
    </row>
    <row r="655" spans="1:3" x14ac:dyDescent="0.3">
      <c r="A655" s="2" t="s">
        <v>738</v>
      </c>
      <c r="B655" s="680" t="str">
        <f t="shared" si="14"/>
        <v>Partnerystės principas:</v>
      </c>
      <c r="C655" s="676"/>
    </row>
    <row r="656" spans="1:3" ht="28.8" x14ac:dyDescent="0.3">
      <c r="A656" s="2" t="s">
        <v>739</v>
      </c>
      <c r="B656" s="509" t="str">
        <f t="shared" si="14"/>
        <v>Ar siekiama, kad pagal priemonę finansuojami projektai būtų vykdomi su partneriais?</v>
      </c>
      <c r="C656" s="672" t="str">
        <f>'10'!L41</f>
        <v>Ne</v>
      </c>
    </row>
    <row r="657" spans="1:3" x14ac:dyDescent="0.3">
      <c r="A657" s="2" t="s">
        <v>740</v>
      </c>
      <c r="B657" s="509" t="str">
        <f t="shared" si="14"/>
        <v>Pasirinkimo pagrindimas</v>
      </c>
      <c r="C657" s="677">
        <f>'10'!L42</f>
        <v>0</v>
      </c>
    </row>
    <row r="658" spans="1:3" x14ac:dyDescent="0.3">
      <c r="A658" s="2" t="s">
        <v>741</v>
      </c>
      <c r="B658" s="680" t="str">
        <f t="shared" si="14"/>
        <v>Inovacijų principas:</v>
      </c>
      <c r="C658" s="676"/>
    </row>
    <row r="659" spans="1:3" ht="28.8" x14ac:dyDescent="0.3">
      <c r="A659" s="2" t="s">
        <v>742</v>
      </c>
      <c r="B659" s="509" t="str">
        <f t="shared" si="14"/>
        <v>Ar siekiama, kad pagal priemonę finansuojami projektai būtų skirti inovacijoms vietos lygiu diegti?</v>
      </c>
      <c r="C659" s="672" t="str">
        <f>'10'!L44</f>
        <v>Taip, privalomai</v>
      </c>
    </row>
    <row r="660" spans="1:3" x14ac:dyDescent="0.3">
      <c r="A660" s="2" t="s">
        <v>743</v>
      </c>
      <c r="B660" s="509" t="str">
        <f t="shared" si="14"/>
        <v>Pasirinkimo pagrindimas</v>
      </c>
      <c r="C660" s="677" t="str">
        <f>'10'!L45</f>
        <v>Reikalavimas bus taikomas kaip tinkamumo sąlyga</v>
      </c>
    </row>
    <row r="661" spans="1:3" ht="28.8" x14ac:dyDescent="0.3">
      <c r="A661" s="2" t="s">
        <v>744</v>
      </c>
      <c r="B661" s="509" t="str">
        <f t="shared" si="14"/>
        <v>Planuojama paremti projektų, skirtų inovacijoms vietos lygiu diegti (rodiklis L710)</v>
      </c>
      <c r="C661" s="679">
        <f>'10'!L46</f>
        <v>0</v>
      </c>
    </row>
    <row r="662" spans="1:3" x14ac:dyDescent="0.3">
      <c r="A662" s="2" t="s">
        <v>745</v>
      </c>
      <c r="B662" s="680" t="str">
        <f t="shared" si="14"/>
        <v>Lyčių lygybė ir nediskriminavimas:</v>
      </c>
      <c r="C662" s="676"/>
    </row>
    <row r="663" spans="1:3" ht="28.8" x14ac:dyDescent="0.3">
      <c r="A663" s="2" t="s">
        <v>746</v>
      </c>
      <c r="B663" s="509" t="str">
        <f t="shared" si="14"/>
        <v>Ar pagal priemonę finansuojami projektai, skirti lyčių lygybei ir nediskriminavimui?</v>
      </c>
      <c r="C663" s="672" t="str">
        <f>'10'!L48</f>
        <v>Taip</v>
      </c>
    </row>
    <row r="664" spans="1:3" ht="72" x14ac:dyDescent="0.3">
      <c r="A664" s="2" t="s">
        <v>747</v>
      </c>
      <c r="B664" s="509" t="str">
        <f t="shared" si="14"/>
        <v>Pasirinkimo pagrindimas (jei taip, kaip bus užtikrinta)</v>
      </c>
      <c r="C664" s="677" t="str">
        <f>'10'!L49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665" spans="1:3" x14ac:dyDescent="0.3">
      <c r="A665" s="2" t="s">
        <v>748</v>
      </c>
      <c r="B665" s="680" t="str">
        <f t="shared" si="14"/>
        <v>Jaunimas:</v>
      </c>
      <c r="C665" s="676"/>
    </row>
    <row r="666" spans="1:3" x14ac:dyDescent="0.3">
      <c r="A666" s="2" t="s">
        <v>749</v>
      </c>
      <c r="B666" s="509" t="str">
        <f t="shared" si="14"/>
        <v>Ar pagal priemonę finansuojami projektai, skirti jaunimui?</v>
      </c>
      <c r="C666" s="672" t="str">
        <f>'10'!L51</f>
        <v>Taip</v>
      </c>
    </row>
    <row r="667" spans="1:3" ht="43.2" x14ac:dyDescent="0.3">
      <c r="A667" s="2" t="s">
        <v>750</v>
      </c>
      <c r="B667" s="509" t="str">
        <f t="shared" si="14"/>
        <v>Pasirinkimo pagrindimas (jei taip, kaip bus užtikrinta)</v>
      </c>
      <c r="C667" s="677" t="str">
        <f>'10'!L52</f>
        <v>Dalyvauti projektinėse veiklose ir juos teikti bus sudarytos vienodos sąlygos visiems, netaikant pozityvios diskriminacijos pagal amžių.</v>
      </c>
    </row>
    <row r="668" spans="1:3" x14ac:dyDescent="0.3">
      <c r="A668" s="2" t="s">
        <v>751</v>
      </c>
      <c r="B668" s="675" t="str">
        <f t="shared" si="14"/>
        <v>E dalis. Priemonės rezultato rodikliai:</v>
      </c>
      <c r="C668" s="676"/>
    </row>
    <row r="669" spans="1:3" x14ac:dyDescent="0.3">
      <c r="A669" s="2" t="s">
        <v>752</v>
      </c>
      <c r="B669" s="680" t="str">
        <f t="shared" si="14"/>
        <v>SP rezultato rodiklių taikymas priemonei:</v>
      </c>
      <c r="C669" s="676"/>
    </row>
    <row r="670" spans="1:3" x14ac:dyDescent="0.3">
      <c r="A670" s="2" t="s">
        <v>753</v>
      </c>
      <c r="B670" s="681" t="str">
        <f t="shared" si="14"/>
        <v>R.3</v>
      </c>
      <c r="C670" s="687" t="str">
        <f>'10'!L55</f>
        <v>Ne</v>
      </c>
    </row>
    <row r="671" spans="1:3" x14ac:dyDescent="0.3">
      <c r="A671" s="2" t="s">
        <v>754</v>
      </c>
      <c r="B671" s="681" t="str">
        <f t="shared" si="14"/>
        <v>R.37</v>
      </c>
      <c r="C671" s="687" t="str">
        <f>'10'!L56</f>
        <v>Ne</v>
      </c>
    </row>
    <row r="672" spans="1:3" x14ac:dyDescent="0.3">
      <c r="A672" s="2" t="s">
        <v>755</v>
      </c>
      <c r="B672" s="681" t="str">
        <f t="shared" si="14"/>
        <v>R.39</v>
      </c>
      <c r="C672" s="687" t="str">
        <f>'10'!L57</f>
        <v>Ne</v>
      </c>
    </row>
    <row r="673" spans="1:3" x14ac:dyDescent="0.3">
      <c r="A673" s="2" t="s">
        <v>756</v>
      </c>
      <c r="B673" s="681" t="str">
        <f t="shared" si="14"/>
        <v>R.41</v>
      </c>
      <c r="C673" s="687" t="str">
        <f>'10'!L58</f>
        <v>Ne</v>
      </c>
    </row>
    <row r="674" spans="1:3" x14ac:dyDescent="0.3">
      <c r="A674" s="2" t="s">
        <v>757</v>
      </c>
      <c r="B674" s="681" t="str">
        <f t="shared" si="14"/>
        <v>R.42</v>
      </c>
      <c r="C674" s="687" t="str">
        <f>'10'!L59</f>
        <v>Taip</v>
      </c>
    </row>
    <row r="675" spans="1:3" x14ac:dyDescent="0.3">
      <c r="A675" s="2" t="s">
        <v>758</v>
      </c>
      <c r="B675" s="680" t="str">
        <f t="shared" si="14"/>
        <v>VPS rodiklių taikymas priemonei:</v>
      </c>
      <c r="C675" s="688"/>
    </row>
    <row r="676" spans="1:3" x14ac:dyDescent="0.3">
      <c r="A676" s="2" t="s">
        <v>759</v>
      </c>
      <c r="B676" s="681" t="str">
        <f t="shared" si="14"/>
        <v>TRAK-P.1</v>
      </c>
      <c r="C676" s="687" t="str">
        <f>'10'!L61</f>
        <v>Ne</v>
      </c>
    </row>
    <row r="677" spans="1:3" x14ac:dyDescent="0.3">
      <c r="A677" s="2" t="s">
        <v>760</v>
      </c>
      <c r="B677" s="681" t="str">
        <f t="shared" si="14"/>
        <v>TRAK-P.2</v>
      </c>
      <c r="C677" s="687" t="str">
        <f>'10'!L62</f>
        <v>Ne</v>
      </c>
    </row>
    <row r="678" spans="1:3" x14ac:dyDescent="0.3">
      <c r="A678" s="2" t="s">
        <v>761</v>
      </c>
      <c r="B678" s="681" t="str">
        <f t="shared" si="14"/>
        <v>TRAK-P.3</v>
      </c>
      <c r="C678" s="687" t="str">
        <f>'10'!L63</f>
        <v>Ne</v>
      </c>
    </row>
    <row r="679" spans="1:3" x14ac:dyDescent="0.3">
      <c r="A679" s="2" t="s">
        <v>762</v>
      </c>
      <c r="B679" s="681" t="str">
        <f t="shared" si="14"/>
        <v>TRAK-P.4</v>
      </c>
      <c r="C679" s="687" t="str">
        <f>'10'!L64</f>
        <v>Ne</v>
      </c>
    </row>
    <row r="680" spans="1:3" x14ac:dyDescent="0.3">
      <c r="A680" s="2" t="s">
        <v>763</v>
      </c>
      <c r="B680" s="681" t="str">
        <f t="shared" si="14"/>
        <v>TRAK-P.5</v>
      </c>
      <c r="C680" s="687" t="str">
        <f>'10'!L65</f>
        <v>Ne</v>
      </c>
    </row>
    <row r="681" spans="1:3" x14ac:dyDescent="0.3">
      <c r="A681" s="2" t="s">
        <v>764</v>
      </c>
      <c r="B681" s="681" t="str">
        <f t="shared" si="14"/>
        <v>TRAK-P.6</v>
      </c>
      <c r="C681" s="687" t="str">
        <f>'10'!L66</f>
        <v>Ne</v>
      </c>
    </row>
    <row r="682" spans="1:3" x14ac:dyDescent="0.3">
      <c r="A682" s="2" t="s">
        <v>765</v>
      </c>
      <c r="B682" s="681" t="str">
        <f t="shared" si="14"/>
        <v>TRAK-P.7</v>
      </c>
      <c r="C682" s="687" t="str">
        <f>'10'!L67</f>
        <v>Ne</v>
      </c>
    </row>
    <row r="683" spans="1:3" x14ac:dyDescent="0.3">
      <c r="A683" s="2" t="s">
        <v>766</v>
      </c>
      <c r="B683" s="681" t="str">
        <f t="shared" si="14"/>
        <v>TRAK-P.8</v>
      </c>
      <c r="C683" s="687" t="str">
        <f>'10'!L68</f>
        <v>Ne</v>
      </c>
    </row>
    <row r="684" spans="1:3" x14ac:dyDescent="0.3">
      <c r="A684" s="2" t="s">
        <v>767</v>
      </c>
      <c r="B684" s="681" t="str">
        <f t="shared" si="14"/>
        <v>TRAK-P.9</v>
      </c>
      <c r="C684" s="687" t="str">
        <f>'10'!L69</f>
        <v>Ne</v>
      </c>
    </row>
    <row r="685" spans="1:3" x14ac:dyDescent="0.3">
      <c r="A685" s="2" t="s">
        <v>768</v>
      </c>
      <c r="B685" s="683" t="str">
        <f t="shared" si="14"/>
        <v>TRAK-P.10</v>
      </c>
      <c r="C685" s="689" t="str">
        <f>'10'!L70</f>
        <v>Ne</v>
      </c>
    </row>
    <row r="686" spans="1:3" x14ac:dyDescent="0.3">
      <c r="A686" s="2" t="s">
        <v>769</v>
      </c>
      <c r="B686" s="675" t="str">
        <f t="shared" si="14"/>
        <v>F dalis. Pagal priemonę remiamų projektų pobūdis:</v>
      </c>
      <c r="C686" s="676"/>
    </row>
    <row r="687" spans="1:3" x14ac:dyDescent="0.3">
      <c r="A687" s="2" t="s">
        <v>770</v>
      </c>
      <c r="B687" s="671" t="str">
        <f t="shared" ref="B687:B696" si="15">B610</f>
        <v>Remiami pelno projektai</v>
      </c>
      <c r="C687" s="672" t="str">
        <f>'10'!L72</f>
        <v>Ne</v>
      </c>
    </row>
    <row r="688" spans="1:3" ht="57.6" x14ac:dyDescent="0.3">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Ne</v>
      </c>
    </row>
    <row r="689" spans="1:3" ht="57.6" x14ac:dyDescent="0.3">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3.2" x14ac:dyDescent="0.3">
      <c r="A690" s="2" t="s">
        <v>773</v>
      </c>
      <c r="B690" s="673" t="str">
        <f t="shared" si="15"/>
        <v>Remiami projektai, susiję su atsinaujinančios energijos gamybos pajėgumais, įskaitant biologinę (aktualu rodikliui L803)</v>
      </c>
      <c r="C690" s="672" t="str">
        <f>'10'!L75</f>
        <v>Ne</v>
      </c>
    </row>
    <row r="691" spans="1:3" ht="43.2" x14ac:dyDescent="0.3">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28.8" x14ac:dyDescent="0.3">
      <c r="A692" s="2" t="s">
        <v>775</v>
      </c>
      <c r="B692" s="673" t="str">
        <f t="shared" si="15"/>
        <v>Remiami projektai, kurie kuria darbo vietas (aktualu rodikliui L805)</v>
      </c>
      <c r="C692" s="672" t="str">
        <f>'10'!L77</f>
        <v>Taip</v>
      </c>
    </row>
    <row r="693" spans="1:3" ht="28.8" x14ac:dyDescent="0.3">
      <c r="A693" s="2" t="s">
        <v>776</v>
      </c>
      <c r="B693" s="673" t="str">
        <f t="shared" si="15"/>
        <v>Remiami kaimo verslų, įskaitant bioekonomiką, projektai (aktualu rodikliui L 806)</v>
      </c>
      <c r="C693" s="672" t="str">
        <f>'10'!L78</f>
        <v>Ne</v>
      </c>
    </row>
    <row r="694" spans="1:3" ht="28.8" x14ac:dyDescent="0.3">
      <c r="A694" s="2" t="s">
        <v>777</v>
      </c>
      <c r="B694" s="673" t="str">
        <f t="shared" si="15"/>
        <v>Remiami projektai, susiję su sumanių kaimų strategijomis (aktualu rodikliui L807)</v>
      </c>
      <c r="C694" s="672" t="str">
        <f>'10'!L79</f>
        <v>Ne</v>
      </c>
    </row>
    <row r="695" spans="1:3" ht="28.8" x14ac:dyDescent="0.3">
      <c r="A695" s="2" t="s">
        <v>778</v>
      </c>
      <c r="B695" s="673" t="str">
        <f t="shared" si="15"/>
        <v>Remiami projektai, gerinantys paslaugų prieinamumą ir infrastruktūrą (aktualu rodikliui L808)</v>
      </c>
      <c r="C695" s="672" t="str">
        <f>'10'!L80</f>
        <v>Ne</v>
      </c>
    </row>
    <row r="696" spans="1:3" ht="28.8" x14ac:dyDescent="0.3">
      <c r="A696" s="2" t="s">
        <v>779</v>
      </c>
      <c r="B696" s="673" t="str">
        <f t="shared" si="15"/>
        <v>Remiami socialinės įtraukties projektai (aktualu rodikliui L809)</v>
      </c>
      <c r="C696" s="672" t="str">
        <f>'10'!L81</f>
        <v>Taip</v>
      </c>
    </row>
    <row r="697" spans="1:3" x14ac:dyDescent="0.3">
      <c r="B697" s="649"/>
      <c r="C697" s="685"/>
    </row>
    <row r="698" spans="1:3" x14ac:dyDescent="0.3">
      <c r="A698" s="1"/>
      <c r="B698" s="362"/>
      <c r="C698" s="686" t="str">
        <f>'10'!M6</f>
        <v>10 priemonė</v>
      </c>
    </row>
    <row r="699" spans="1:3" x14ac:dyDescent="0.3">
      <c r="A699" s="2" t="s">
        <v>188</v>
      </c>
      <c r="B699" s="509" t="str">
        <f>B622</f>
        <v>Priemonės pavadinimas</v>
      </c>
      <c r="C699" s="670" t="str">
        <f>'10'!M7</f>
        <v>Tarptautinis, teritorinis bendradarbiavimas</v>
      </c>
    </row>
    <row r="700" spans="1:3" x14ac:dyDescent="0.3">
      <c r="A700" s="2" t="s">
        <v>189</v>
      </c>
      <c r="B700" s="671" t="str">
        <f t="shared" ref="B700:B763" si="16">B623</f>
        <v>Priemonės rūšis</v>
      </c>
      <c r="C700" s="670" t="str">
        <f>'10'!M8</f>
        <v>Tarptautinis VVG bendradarbiavimas</v>
      </c>
    </row>
    <row r="701" spans="1:3" x14ac:dyDescent="0.3">
      <c r="A701" s="2" t="s">
        <v>190</v>
      </c>
      <c r="B701" s="671" t="str">
        <f t="shared" si="16"/>
        <v>VVG teritorijos poreikių, kuriuos tenkina priemonė, skaičius</v>
      </c>
      <c r="C701" s="670">
        <f>'10'!M9</f>
        <v>2</v>
      </c>
    </row>
    <row r="702" spans="1:3" x14ac:dyDescent="0.3">
      <c r="A702" s="2" t="s">
        <v>191</v>
      </c>
      <c r="B702" s="671" t="str">
        <f t="shared" si="16"/>
        <v>BŽŪP tikslų, kuriuos įgyvendina priemonė, skaičius</v>
      </c>
      <c r="C702" s="670">
        <f>'10'!M10</f>
        <v>0</v>
      </c>
    </row>
    <row r="703" spans="1:3" x14ac:dyDescent="0.3">
      <c r="A703" s="2" t="s">
        <v>192</v>
      </c>
      <c r="B703" s="671" t="str">
        <f t="shared" si="16"/>
        <v>Pagrindinis BŽŪP tikslas, kurį įgyvendina VPS priemonė</v>
      </c>
      <c r="C703" s="672" t="str">
        <f>'10'!M11</f>
        <v>Pasirinkite</v>
      </c>
    </row>
    <row r="704" spans="1:3" ht="28.8" x14ac:dyDescent="0.3">
      <c r="A704" s="2" t="s">
        <v>193</v>
      </c>
      <c r="B704" s="673" t="str">
        <f t="shared" si="16"/>
        <v>Ar priemonė prisideda prie 4 konkretaus BŽŪP tikslo? (tikslas nurodytas 5 lape)</v>
      </c>
      <c r="C704" s="672" t="str">
        <f>'10'!M12</f>
        <v>Ne</v>
      </c>
    </row>
    <row r="705" spans="1:3" ht="28.8" x14ac:dyDescent="0.3">
      <c r="A705" s="2" t="s">
        <v>194</v>
      </c>
      <c r="B705" s="673" t="str">
        <f t="shared" si="16"/>
        <v>Ar priemonė prisideda prie 5 konkretaus BŽŪP tikslo? (tikslas nurodytas 5 lape)</v>
      </c>
      <c r="C705" s="672" t="str">
        <f>'10'!M13</f>
        <v>Ne</v>
      </c>
    </row>
    <row r="706" spans="1:3" ht="28.8" x14ac:dyDescent="0.3">
      <c r="A706" s="2" t="s">
        <v>195</v>
      </c>
      <c r="B706" s="673" t="str">
        <f t="shared" si="16"/>
        <v>Ar priemonė prisideda prie 6 konkretaus BŽŪP tikslo? (tikslas nurodytas 5 lape)</v>
      </c>
      <c r="C706" s="672" t="str">
        <f>'10'!M14</f>
        <v>Ne</v>
      </c>
    </row>
    <row r="707" spans="1:3" ht="28.8" x14ac:dyDescent="0.3">
      <c r="A707" s="2" t="s">
        <v>196</v>
      </c>
      <c r="B707" s="673" t="str">
        <f t="shared" si="16"/>
        <v>Ar priemonė prisideda prie 9 konkretaus BŽŪP tikslo? (tikslas nurodytas 5 lape)</v>
      </c>
      <c r="C707" s="672" t="str">
        <f>'10'!M15</f>
        <v>Ne</v>
      </c>
    </row>
    <row r="708" spans="1:3" x14ac:dyDescent="0.3">
      <c r="A708" s="2" t="s">
        <v>94</v>
      </c>
      <c r="B708" s="675" t="str">
        <f t="shared" si="16"/>
        <v>A dalis. Priemonės intervencijos logika:</v>
      </c>
      <c r="C708" s="676"/>
    </row>
    <row r="709" spans="1:3" ht="43.2" x14ac:dyDescent="0.3">
      <c r="A709" s="2" t="s">
        <v>197</v>
      </c>
      <c r="B709" s="673" t="str">
        <f t="shared" si="16"/>
        <v>Priemonės tikslas, ryšys su pagrindiniu BŽŪP tikslu ir VVG teritorijos poreikiais (problemomis ir (arba) potencialu), ryšys su VPS tema (jei taikoma)</v>
      </c>
      <c r="C709" s="677">
        <f>'10'!M17</f>
        <v>0</v>
      </c>
    </row>
    <row r="710" spans="1:3" x14ac:dyDescent="0.3">
      <c r="A710" s="2" t="s">
        <v>198</v>
      </c>
      <c r="B710" s="671" t="str">
        <f t="shared" si="16"/>
        <v>Pokytis, kurio siekiama VPS priemone</v>
      </c>
      <c r="C710" s="677">
        <f>'10'!M18</f>
        <v>0</v>
      </c>
    </row>
    <row r="711" spans="1:3" ht="28.8" x14ac:dyDescent="0.3">
      <c r="A711" s="2" t="s">
        <v>199</v>
      </c>
      <c r="B711" s="509" t="str">
        <f t="shared" si="16"/>
        <v>Kaip priemonė prisidės prie horizontalaus tikslo d įgyvendinimo? (pildoma, jei taikoma)</v>
      </c>
      <c r="C711" s="677">
        <f>'10'!M19</f>
        <v>0</v>
      </c>
    </row>
    <row r="712" spans="1:3" ht="28.8" x14ac:dyDescent="0.3">
      <c r="A712" s="2" t="s">
        <v>200</v>
      </c>
      <c r="B712" s="509" t="str">
        <f t="shared" si="16"/>
        <v>Kaip priemonė prisidės prie horizontalaus tikslo e įgyvendinimo? (pildoma, jei taikoma)</v>
      </c>
      <c r="C712" s="677">
        <f>'10'!M20</f>
        <v>0</v>
      </c>
    </row>
    <row r="713" spans="1:3" ht="28.8" x14ac:dyDescent="0.3">
      <c r="A713" s="2" t="s">
        <v>201</v>
      </c>
      <c r="B713" s="509" t="str">
        <f t="shared" si="16"/>
        <v>Kaip priemonė prisidės prie horizontalaus tikslo f įgyvendinimo? (pildoma, jei taikoma)</v>
      </c>
      <c r="C713" s="677">
        <f>'10'!M21</f>
        <v>0</v>
      </c>
    </row>
    <row r="714" spans="1:3" ht="28.8" x14ac:dyDescent="0.3">
      <c r="A714" s="2" t="s">
        <v>202</v>
      </c>
      <c r="B714" s="509" t="str">
        <f t="shared" si="16"/>
        <v>Kaip priemonė prisidės prie horizontalaus tikslo i įgyvendinimo? (pildoma, jei taikoma)</v>
      </c>
      <c r="C714" s="677">
        <f>'10'!M22</f>
        <v>0</v>
      </c>
    </row>
    <row r="715" spans="1:3" ht="28.8" x14ac:dyDescent="0.3">
      <c r="A715" s="2" t="s">
        <v>203</v>
      </c>
      <c r="B715" s="675" t="str">
        <f t="shared" si="16"/>
        <v>B dalis. Pareiškėjų ir projektų tinkamumo sąlygos, projektų atrankos principai:</v>
      </c>
      <c r="C715" s="676"/>
    </row>
    <row r="716" spans="1:3" x14ac:dyDescent="0.3">
      <c r="A716" s="2" t="s">
        <v>204</v>
      </c>
      <c r="B716" s="509" t="str">
        <f t="shared" si="16"/>
        <v>Pagal priemonę remiamos veiklos</v>
      </c>
      <c r="C716" s="677">
        <f>'10'!M24</f>
        <v>0</v>
      </c>
    </row>
    <row r="717" spans="1:3" ht="28.8" x14ac:dyDescent="0.3">
      <c r="A717" s="2" t="s">
        <v>205</v>
      </c>
      <c r="B717" s="671" t="str">
        <f t="shared" si="16"/>
        <v>Tinkami pareiškėjai ir partneriai (jei taikomas reikalavimas projektus įgyvendinti su partneriais)</v>
      </c>
      <c r="C717" s="677">
        <f>'10'!M25</f>
        <v>0</v>
      </c>
    </row>
    <row r="718" spans="1:3" ht="28.8" x14ac:dyDescent="0.3">
      <c r="A718" s="2" t="s">
        <v>206</v>
      </c>
      <c r="B718" s="671" t="str">
        <f t="shared" si="16"/>
        <v>Priemonės tikslinė grupė (pildoma, jei nesutampa su tinkamais pareiškėjais ir (arba) partneriais)</v>
      </c>
      <c r="C718" s="677" t="str">
        <f>'10'!M26</f>
        <v xml:space="preserve">VVG atstovai </v>
      </c>
    </row>
    <row r="719" spans="1:3" x14ac:dyDescent="0.3">
      <c r="A719" s="2" t="s">
        <v>725</v>
      </c>
      <c r="B719" s="509" t="str">
        <f t="shared" si="16"/>
        <v>Tinkamumo sąlygos pareiškėjams ir projektams</v>
      </c>
      <c r="C719" s="677">
        <f>'10'!M27</f>
        <v>0</v>
      </c>
    </row>
    <row r="720" spans="1:3" x14ac:dyDescent="0.3">
      <c r="A720" s="2" t="s">
        <v>726</v>
      </c>
      <c r="B720" s="673" t="str">
        <f t="shared" si="16"/>
        <v>Projektų atrankos principai</v>
      </c>
      <c r="C720" s="677">
        <f>'10'!M28</f>
        <v>0</v>
      </c>
    </row>
    <row r="721" spans="1:3" x14ac:dyDescent="0.3">
      <c r="A721" s="2" t="s">
        <v>727</v>
      </c>
      <c r="B721" s="509" t="str">
        <f t="shared" si="16"/>
        <v>Planuojamų kvietimų teikti paraiškas skaičius</v>
      </c>
      <c r="C721" s="670">
        <f>'10'!M29</f>
        <v>0</v>
      </c>
    </row>
    <row r="722" spans="1:3" x14ac:dyDescent="0.3">
      <c r="A722" s="2" t="s">
        <v>728</v>
      </c>
      <c r="B722" s="651" t="str">
        <f t="shared" si="16"/>
        <v>C dalis. Paramos dydžiai:</v>
      </c>
      <c r="C722" s="676"/>
    </row>
    <row r="723" spans="1:3" x14ac:dyDescent="0.3">
      <c r="A723" s="2" t="s">
        <v>729</v>
      </c>
      <c r="B723" s="509" t="str">
        <f t="shared" si="16"/>
        <v>Didžiausia paramos suma vietos projektui, Eur</v>
      </c>
      <c r="C723" s="677">
        <f>'10'!M31</f>
        <v>5000</v>
      </c>
    </row>
    <row r="724" spans="1:3" x14ac:dyDescent="0.3">
      <c r="A724" s="2" t="s">
        <v>730</v>
      </c>
      <c r="B724" s="509" t="str">
        <f t="shared" si="16"/>
        <v xml:space="preserve">Paramos lyginamoji dalis, proc. </v>
      </c>
      <c r="C724" s="677" t="str">
        <f>'10'!M32</f>
        <v>iki 100 / 95</v>
      </c>
    </row>
    <row r="725" spans="1:3" x14ac:dyDescent="0.3">
      <c r="A725" s="2" t="s">
        <v>731</v>
      </c>
      <c r="B725" s="509" t="str">
        <f t="shared" si="16"/>
        <v>Planuojama paramos suma priemonei, Eur</v>
      </c>
      <c r="C725" s="678">
        <f>'10'!M33</f>
        <v>10000</v>
      </c>
    </row>
    <row r="726" spans="1:3" x14ac:dyDescent="0.3">
      <c r="A726" s="2" t="s">
        <v>732</v>
      </c>
      <c r="B726" s="509" t="str">
        <f t="shared" si="16"/>
        <v>Planuojama paremti projektų (rodiklis L700)</v>
      </c>
      <c r="C726" s="679">
        <f>'10'!M34</f>
        <v>1</v>
      </c>
    </row>
    <row r="727" spans="1:3" x14ac:dyDescent="0.3">
      <c r="A727" s="2" t="s">
        <v>733</v>
      </c>
      <c r="B727" s="509" t="str">
        <f t="shared" si="16"/>
        <v>Paaiškinimas, kaip nustatyta rodiklio L700 reikšmė</v>
      </c>
      <c r="C727" s="677">
        <f>'10'!M35</f>
        <v>0</v>
      </c>
    </row>
    <row r="728" spans="1:3" ht="28.8" x14ac:dyDescent="0.3">
      <c r="A728" s="2" t="s">
        <v>734</v>
      </c>
      <c r="B728" s="651" t="str">
        <f t="shared" si="16"/>
        <v>D dalis. Priemonės indėlis į ES ir nacionalinių horizontaliųjų principų įgyvendinimą:</v>
      </c>
      <c r="C728" s="676"/>
    </row>
    <row r="729" spans="1:3" x14ac:dyDescent="0.3">
      <c r="A729" s="2" t="s">
        <v>735</v>
      </c>
      <c r="B729" s="680" t="str">
        <f t="shared" si="16"/>
        <v>Subregioninės vietovės principas:</v>
      </c>
      <c r="C729" s="676"/>
    </row>
    <row r="730" spans="1:3" ht="28.8" x14ac:dyDescent="0.3">
      <c r="A730" s="2" t="s">
        <v>736</v>
      </c>
      <c r="B730" s="509" t="str">
        <f t="shared" si="16"/>
        <v>Ar siekiama, kad pagal priemonę finansuojami projektai apimtų visas VVG teritorijos seniūnijas?</v>
      </c>
      <c r="C730" s="672" t="str">
        <f>'10'!M38</f>
        <v>Ne</v>
      </c>
    </row>
    <row r="731" spans="1:3" x14ac:dyDescent="0.3">
      <c r="A731" s="2" t="s">
        <v>737</v>
      </c>
      <c r="B731" s="509" t="str">
        <f t="shared" si="16"/>
        <v>Pasirinkimo pagrindimas</v>
      </c>
      <c r="C731" s="677">
        <f>'10'!M39</f>
        <v>0</v>
      </c>
    </row>
    <row r="732" spans="1:3" x14ac:dyDescent="0.3">
      <c r="A732" s="2" t="s">
        <v>738</v>
      </c>
      <c r="B732" s="680" t="str">
        <f t="shared" si="16"/>
        <v>Partnerystės principas:</v>
      </c>
      <c r="C732" s="676"/>
    </row>
    <row r="733" spans="1:3" ht="28.8" x14ac:dyDescent="0.3">
      <c r="A733" s="2" t="s">
        <v>739</v>
      </c>
      <c r="B733" s="509" t="str">
        <f t="shared" si="16"/>
        <v>Ar siekiama, kad pagal priemonę finansuojami projektai būtų vykdomi su partneriais?</v>
      </c>
      <c r="C733" s="672" t="str">
        <f>'10'!M41</f>
        <v>Taip, privalomai</v>
      </c>
    </row>
    <row r="734" spans="1:3" x14ac:dyDescent="0.3">
      <c r="A734" s="2" t="s">
        <v>740</v>
      </c>
      <c r="B734" s="509" t="str">
        <f t="shared" si="16"/>
        <v>Pasirinkimo pagrindimas</v>
      </c>
      <c r="C734" s="677">
        <f>'10'!M42</f>
        <v>0</v>
      </c>
    </row>
    <row r="735" spans="1:3" x14ac:dyDescent="0.3">
      <c r="A735" s="2" t="s">
        <v>741</v>
      </c>
      <c r="B735" s="680" t="str">
        <f t="shared" si="16"/>
        <v>Inovacijų principas:</v>
      </c>
      <c r="C735" s="676"/>
    </row>
    <row r="736" spans="1:3" ht="28.8" x14ac:dyDescent="0.3">
      <c r="A736" s="2" t="s">
        <v>742</v>
      </c>
      <c r="B736" s="509" t="str">
        <f t="shared" si="16"/>
        <v>Ar siekiama, kad pagal priemonę finansuojami projektai būtų skirti inovacijoms vietos lygiu diegti?</v>
      </c>
      <c r="C736" s="672" t="str">
        <f>'10'!M44</f>
        <v>Ne</v>
      </c>
    </row>
    <row r="737" spans="1:3" x14ac:dyDescent="0.3">
      <c r="A737" s="2" t="s">
        <v>743</v>
      </c>
      <c r="B737" s="509" t="str">
        <f t="shared" si="16"/>
        <v>Pasirinkimo pagrindimas</v>
      </c>
      <c r="C737" s="677">
        <f>'10'!M45</f>
        <v>0</v>
      </c>
    </row>
    <row r="738" spans="1:3" ht="28.8" x14ac:dyDescent="0.3">
      <c r="A738" s="2" t="s">
        <v>744</v>
      </c>
      <c r="B738" s="509" t="str">
        <f t="shared" si="16"/>
        <v>Planuojama paremti projektų, skirtų inovacijoms vietos lygiu diegti (rodiklis L710)</v>
      </c>
      <c r="C738" s="679">
        <f>'10'!M46</f>
        <v>0</v>
      </c>
    </row>
    <row r="739" spans="1:3" x14ac:dyDescent="0.3">
      <c r="A739" s="2" t="s">
        <v>745</v>
      </c>
      <c r="B739" s="680" t="str">
        <f t="shared" si="16"/>
        <v>Lyčių lygybė ir nediskriminavimas:</v>
      </c>
      <c r="C739" s="676"/>
    </row>
    <row r="740" spans="1:3" ht="28.8" x14ac:dyDescent="0.3">
      <c r="A740" s="2" t="s">
        <v>746</v>
      </c>
      <c r="B740" s="509" t="str">
        <f t="shared" si="16"/>
        <v>Ar pagal priemonę finansuojami projektai, skirti lyčių lygybei ir nediskriminavimui?</v>
      </c>
      <c r="C740" s="672" t="str">
        <f>'10'!M48</f>
        <v>Ne</v>
      </c>
    </row>
    <row r="741" spans="1:3" x14ac:dyDescent="0.3">
      <c r="A741" s="2" t="s">
        <v>747</v>
      </c>
      <c r="B741" s="509" t="str">
        <f t="shared" si="16"/>
        <v>Pasirinkimo pagrindimas (jei taip, kaip bus užtikrinta)</v>
      </c>
      <c r="C741" s="677">
        <f>'10'!M49</f>
        <v>0</v>
      </c>
    </row>
    <row r="742" spans="1:3" x14ac:dyDescent="0.3">
      <c r="A742" s="2" t="s">
        <v>748</v>
      </c>
      <c r="B742" s="680" t="str">
        <f t="shared" si="16"/>
        <v>Jaunimas:</v>
      </c>
      <c r="C742" s="676"/>
    </row>
    <row r="743" spans="1:3" x14ac:dyDescent="0.3">
      <c r="A743" s="2" t="s">
        <v>749</v>
      </c>
      <c r="B743" s="509" t="str">
        <f t="shared" si="16"/>
        <v>Ar pagal priemonę finansuojami projektai, skirti jaunimui?</v>
      </c>
      <c r="C743" s="672" t="str">
        <f>'10'!M51</f>
        <v>Ne</v>
      </c>
    </row>
    <row r="744" spans="1:3" x14ac:dyDescent="0.3">
      <c r="A744" s="2" t="s">
        <v>750</v>
      </c>
      <c r="B744" s="509" t="str">
        <f t="shared" si="16"/>
        <v>Pasirinkimo pagrindimas (jei taip, kaip bus užtikrinta)</v>
      </c>
      <c r="C744" s="677">
        <f>'10'!M52</f>
        <v>0</v>
      </c>
    </row>
    <row r="745" spans="1:3" x14ac:dyDescent="0.3">
      <c r="A745" s="2" t="s">
        <v>751</v>
      </c>
      <c r="B745" s="675" t="str">
        <f t="shared" si="16"/>
        <v>E dalis. Priemonės rezultato rodikliai:</v>
      </c>
      <c r="C745" s="676"/>
    </row>
    <row r="746" spans="1:3" x14ac:dyDescent="0.3">
      <c r="A746" s="2" t="s">
        <v>752</v>
      </c>
      <c r="B746" s="680" t="str">
        <f t="shared" si="16"/>
        <v>SP rezultato rodiklių taikymas priemonei:</v>
      </c>
      <c r="C746" s="676"/>
    </row>
    <row r="747" spans="1:3" x14ac:dyDescent="0.3">
      <c r="A747" s="2" t="s">
        <v>753</v>
      </c>
      <c r="B747" s="681" t="str">
        <f t="shared" si="16"/>
        <v>R.3</v>
      </c>
      <c r="C747" s="687" t="str">
        <f>'10'!M55</f>
        <v>Ne</v>
      </c>
    </row>
    <row r="748" spans="1:3" x14ac:dyDescent="0.3">
      <c r="A748" s="2" t="s">
        <v>754</v>
      </c>
      <c r="B748" s="681" t="str">
        <f t="shared" si="16"/>
        <v>R.37</v>
      </c>
      <c r="C748" s="687" t="str">
        <f>'10'!M56</f>
        <v>Ne</v>
      </c>
    </row>
    <row r="749" spans="1:3" x14ac:dyDescent="0.3">
      <c r="A749" s="2" t="s">
        <v>755</v>
      </c>
      <c r="B749" s="681" t="str">
        <f t="shared" si="16"/>
        <v>R.39</v>
      </c>
      <c r="C749" s="687" t="str">
        <f>'10'!M57</f>
        <v>Ne</v>
      </c>
    </row>
    <row r="750" spans="1:3" x14ac:dyDescent="0.3">
      <c r="A750" s="2" t="s">
        <v>756</v>
      </c>
      <c r="B750" s="681" t="str">
        <f t="shared" si="16"/>
        <v>R.41</v>
      </c>
      <c r="C750" s="687" t="str">
        <f>'10'!M58</f>
        <v>Ne</v>
      </c>
    </row>
    <row r="751" spans="1:3" x14ac:dyDescent="0.3">
      <c r="A751" s="2" t="s">
        <v>757</v>
      </c>
      <c r="B751" s="681" t="str">
        <f t="shared" si="16"/>
        <v>R.42</v>
      </c>
      <c r="C751" s="687" t="str">
        <f>'10'!M59</f>
        <v>Ne</v>
      </c>
    </row>
    <row r="752" spans="1:3" x14ac:dyDescent="0.3">
      <c r="A752" s="2" t="s">
        <v>758</v>
      </c>
      <c r="B752" s="680" t="str">
        <f t="shared" si="16"/>
        <v>VPS rodiklių taikymas priemonei:</v>
      </c>
      <c r="C752" s="688"/>
    </row>
    <row r="753" spans="1:3" x14ac:dyDescent="0.3">
      <c r="A753" s="2" t="s">
        <v>759</v>
      </c>
      <c r="B753" s="681" t="str">
        <f t="shared" si="16"/>
        <v>TRAK-P.1</v>
      </c>
      <c r="C753" s="687" t="str">
        <f>'10'!M61</f>
        <v>Ne</v>
      </c>
    </row>
    <row r="754" spans="1:3" x14ac:dyDescent="0.3">
      <c r="A754" s="2" t="s">
        <v>760</v>
      </c>
      <c r="B754" s="681" t="str">
        <f t="shared" si="16"/>
        <v>TRAK-P.2</v>
      </c>
      <c r="C754" s="687" t="str">
        <f>'10'!M62</f>
        <v>Ne</v>
      </c>
    </row>
    <row r="755" spans="1:3" x14ac:dyDescent="0.3">
      <c r="A755" s="2" t="s">
        <v>761</v>
      </c>
      <c r="B755" s="681" t="str">
        <f t="shared" si="16"/>
        <v>TRAK-P.3</v>
      </c>
      <c r="C755" s="687" t="str">
        <f>'10'!M63</f>
        <v>Ne</v>
      </c>
    </row>
    <row r="756" spans="1:3" x14ac:dyDescent="0.3">
      <c r="A756" s="2" t="s">
        <v>762</v>
      </c>
      <c r="B756" s="681" t="str">
        <f t="shared" si="16"/>
        <v>TRAK-P.4</v>
      </c>
      <c r="C756" s="687" t="str">
        <f>'10'!M64</f>
        <v>Ne</v>
      </c>
    </row>
    <row r="757" spans="1:3" x14ac:dyDescent="0.3">
      <c r="A757" s="2" t="s">
        <v>763</v>
      </c>
      <c r="B757" s="681" t="str">
        <f t="shared" si="16"/>
        <v>TRAK-P.5</v>
      </c>
      <c r="C757" s="687" t="str">
        <f>'10'!M65</f>
        <v>Ne</v>
      </c>
    </row>
    <row r="758" spans="1:3" x14ac:dyDescent="0.3">
      <c r="A758" s="2" t="s">
        <v>764</v>
      </c>
      <c r="B758" s="681" t="str">
        <f t="shared" si="16"/>
        <v>TRAK-P.6</v>
      </c>
      <c r="C758" s="687" t="str">
        <f>'10'!M66</f>
        <v>Ne</v>
      </c>
    </row>
    <row r="759" spans="1:3" x14ac:dyDescent="0.3">
      <c r="A759" s="2" t="s">
        <v>765</v>
      </c>
      <c r="B759" s="681" t="str">
        <f t="shared" si="16"/>
        <v>TRAK-P.7</v>
      </c>
      <c r="C759" s="687" t="str">
        <f>'10'!M67</f>
        <v>Ne</v>
      </c>
    </row>
    <row r="760" spans="1:3" x14ac:dyDescent="0.3">
      <c r="A760" s="2" t="s">
        <v>766</v>
      </c>
      <c r="B760" s="681" t="str">
        <f t="shared" si="16"/>
        <v>TRAK-P.8</v>
      </c>
      <c r="C760" s="687" t="str">
        <f>'10'!M68</f>
        <v>Ne</v>
      </c>
    </row>
    <row r="761" spans="1:3" x14ac:dyDescent="0.3">
      <c r="A761" s="2" t="s">
        <v>767</v>
      </c>
      <c r="B761" s="681" t="str">
        <f t="shared" si="16"/>
        <v>TRAK-P.9</v>
      </c>
      <c r="C761" s="687" t="str">
        <f>'10'!M69</f>
        <v>Ne</v>
      </c>
    </row>
    <row r="762" spans="1:3" x14ac:dyDescent="0.3">
      <c r="A762" s="2" t="s">
        <v>768</v>
      </c>
      <c r="B762" s="683" t="str">
        <f t="shared" si="16"/>
        <v>TRAK-P.10</v>
      </c>
      <c r="C762" s="689" t="str">
        <f>'10'!M70</f>
        <v>Ne</v>
      </c>
    </row>
    <row r="763" spans="1:3" x14ac:dyDescent="0.3">
      <c r="A763" s="2" t="s">
        <v>769</v>
      </c>
      <c r="B763" s="675" t="str">
        <f t="shared" si="16"/>
        <v>F dalis. Pagal priemonę remiamų projektų pobūdis:</v>
      </c>
      <c r="C763" s="676"/>
    </row>
    <row r="764" spans="1:3" x14ac:dyDescent="0.3">
      <c r="A764" s="2" t="s">
        <v>770</v>
      </c>
      <c r="B764" s="671" t="str">
        <f t="shared" ref="B764:B773" si="17">B687</f>
        <v>Remiami pelno projektai</v>
      </c>
      <c r="C764" s="672" t="str">
        <f>'10'!M72</f>
        <v>Ne</v>
      </c>
    </row>
    <row r="765" spans="1:3" ht="57.6" x14ac:dyDescent="0.3">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57.6" x14ac:dyDescent="0.3">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3.2" x14ac:dyDescent="0.3">
      <c r="A767" s="2" t="s">
        <v>773</v>
      </c>
      <c r="B767" s="673" t="str">
        <f t="shared" si="17"/>
        <v>Remiami projektai, susiję su atsinaujinančios energijos gamybos pajėgumais, įskaitant biologinę (aktualu rodikliui L803)</v>
      </c>
      <c r="C767" s="672" t="str">
        <f>'10'!M75</f>
        <v>Ne</v>
      </c>
    </row>
    <row r="768" spans="1:3" ht="43.2" x14ac:dyDescent="0.3">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28.8" x14ac:dyDescent="0.3">
      <c r="A769" s="2" t="s">
        <v>775</v>
      </c>
      <c r="B769" s="673" t="str">
        <f t="shared" si="17"/>
        <v>Remiami projektai, kurie kuria darbo vietas (aktualu rodikliui L805)</v>
      </c>
      <c r="C769" s="672" t="str">
        <f>'10'!M77</f>
        <v>Ne</v>
      </c>
    </row>
    <row r="770" spans="1:3" ht="28.8" x14ac:dyDescent="0.3">
      <c r="A770" s="2" t="s">
        <v>776</v>
      </c>
      <c r="B770" s="673" t="str">
        <f t="shared" si="17"/>
        <v>Remiami kaimo verslų, įskaitant bioekonomiką, projektai (aktualu rodikliui L 806)</v>
      </c>
      <c r="C770" s="672" t="str">
        <f>'10'!M78</f>
        <v>Ne</v>
      </c>
    </row>
    <row r="771" spans="1:3" ht="28.8" x14ac:dyDescent="0.3">
      <c r="A771" s="2" t="s">
        <v>777</v>
      </c>
      <c r="B771" s="673" t="str">
        <f t="shared" si="17"/>
        <v>Remiami projektai, susiję su sumanių kaimų strategijomis (aktualu rodikliui L807)</v>
      </c>
      <c r="C771" s="672" t="str">
        <f>'10'!M79</f>
        <v>Ne</v>
      </c>
    </row>
    <row r="772" spans="1:3" ht="28.8" x14ac:dyDescent="0.3">
      <c r="A772" s="2" t="s">
        <v>778</v>
      </c>
      <c r="B772" s="673" t="str">
        <f t="shared" si="17"/>
        <v>Remiami projektai, gerinantys paslaugų prieinamumą ir infrastruktūrą (aktualu rodikliui L808)</v>
      </c>
      <c r="C772" s="672" t="str">
        <f>'10'!M80</f>
        <v>Ne</v>
      </c>
    </row>
    <row r="773" spans="1:3" ht="28.8" x14ac:dyDescent="0.3">
      <c r="A773" s="2" t="s">
        <v>779</v>
      </c>
      <c r="B773" s="673" t="str">
        <f t="shared" si="17"/>
        <v>Remiami socialinės įtraukties projektai (aktualu rodikliui L809)</v>
      </c>
      <c r="C773" s="672" t="str">
        <f>'10'!M81</f>
        <v>Ne</v>
      </c>
    </row>
    <row r="774" spans="1:3" x14ac:dyDescent="0.3">
      <c r="A774" s="2"/>
      <c r="B774" s="649"/>
      <c r="C774" s="685"/>
    </row>
    <row r="775" spans="1:3" x14ac:dyDescent="0.3">
      <c r="A775" s="1"/>
      <c r="B775" s="362"/>
      <c r="C775" s="686" t="str">
        <f>'10'!N6</f>
        <v>11 priemonė</v>
      </c>
    </row>
    <row r="776" spans="1:3" x14ac:dyDescent="0.3">
      <c r="A776" s="2" t="s">
        <v>188</v>
      </c>
      <c r="B776" s="509" t="str">
        <f>B699</f>
        <v>Priemonės pavadinimas</v>
      </c>
      <c r="C776" s="670">
        <f>'10'!N7</f>
        <v>0</v>
      </c>
    </row>
    <row r="777" spans="1:3" x14ac:dyDescent="0.3">
      <c r="A777" s="2" t="s">
        <v>189</v>
      </c>
      <c r="B777" s="671" t="str">
        <f t="shared" ref="B777:B840" si="18">B700</f>
        <v>Priemonės rūšis</v>
      </c>
      <c r="C777" s="670">
        <f>'10'!N8</f>
        <v>0</v>
      </c>
    </row>
    <row r="778" spans="1:3" x14ac:dyDescent="0.3">
      <c r="A778" s="2" t="s">
        <v>190</v>
      </c>
      <c r="B778" s="671" t="str">
        <f t="shared" si="18"/>
        <v>VVG teritorijos poreikių, kuriuos tenkina priemonė, skaičius</v>
      </c>
      <c r="C778" s="670">
        <f>'10'!N9</f>
        <v>0</v>
      </c>
    </row>
    <row r="779" spans="1:3" x14ac:dyDescent="0.3">
      <c r="A779" s="2" t="s">
        <v>191</v>
      </c>
      <c r="B779" s="671" t="str">
        <f t="shared" si="18"/>
        <v>BŽŪP tikslų, kuriuos įgyvendina priemonė, skaičius</v>
      </c>
      <c r="C779" s="670">
        <f>'10'!N10</f>
        <v>0</v>
      </c>
    </row>
    <row r="780" spans="1:3" x14ac:dyDescent="0.3">
      <c r="A780" s="2" t="s">
        <v>192</v>
      </c>
      <c r="B780" s="671" t="str">
        <f t="shared" si="18"/>
        <v>Pagrindinis BŽŪP tikslas, kurį įgyvendina VPS priemonė</v>
      </c>
      <c r="C780" s="672" t="str">
        <f>'10'!N11</f>
        <v>Pasirinkite</v>
      </c>
    </row>
    <row r="781" spans="1:3" ht="28.8" x14ac:dyDescent="0.3">
      <c r="A781" s="2" t="s">
        <v>193</v>
      </c>
      <c r="B781" s="673" t="str">
        <f t="shared" si="18"/>
        <v>Ar priemonė prisideda prie 4 konkretaus BŽŪP tikslo? (tikslas nurodytas 5 lape)</v>
      </c>
      <c r="C781" s="672" t="str">
        <f>'10'!N12</f>
        <v>Ne</v>
      </c>
    </row>
    <row r="782" spans="1:3" ht="28.8" x14ac:dyDescent="0.3">
      <c r="A782" s="2" t="s">
        <v>194</v>
      </c>
      <c r="B782" s="673" t="str">
        <f t="shared" si="18"/>
        <v>Ar priemonė prisideda prie 5 konkretaus BŽŪP tikslo? (tikslas nurodytas 5 lape)</v>
      </c>
      <c r="C782" s="672" t="str">
        <f>'10'!N13</f>
        <v>Ne</v>
      </c>
    </row>
    <row r="783" spans="1:3" ht="28.8" x14ac:dyDescent="0.3">
      <c r="A783" s="2" t="s">
        <v>195</v>
      </c>
      <c r="B783" s="673" t="str">
        <f t="shared" si="18"/>
        <v>Ar priemonė prisideda prie 6 konkretaus BŽŪP tikslo? (tikslas nurodytas 5 lape)</v>
      </c>
      <c r="C783" s="672" t="str">
        <f>'10'!N14</f>
        <v>Ne</v>
      </c>
    </row>
    <row r="784" spans="1:3" ht="28.8" x14ac:dyDescent="0.3">
      <c r="A784" s="2" t="s">
        <v>196</v>
      </c>
      <c r="B784" s="673" t="str">
        <f t="shared" si="18"/>
        <v>Ar priemonė prisideda prie 9 konkretaus BŽŪP tikslo? (tikslas nurodytas 5 lape)</v>
      </c>
      <c r="C784" s="672" t="str">
        <f>'10'!N15</f>
        <v>Ne</v>
      </c>
    </row>
    <row r="785" spans="1:3" x14ac:dyDescent="0.3">
      <c r="A785" s="2" t="s">
        <v>94</v>
      </c>
      <c r="B785" s="675" t="str">
        <f t="shared" si="18"/>
        <v>A dalis. Priemonės intervencijos logika:</v>
      </c>
      <c r="C785" s="676"/>
    </row>
    <row r="786" spans="1:3" ht="43.2" x14ac:dyDescent="0.3">
      <c r="A786" s="2" t="s">
        <v>197</v>
      </c>
      <c r="B786" s="673" t="str">
        <f t="shared" si="18"/>
        <v>Priemonės tikslas, ryšys su pagrindiniu BŽŪP tikslu ir VVG teritorijos poreikiais (problemomis ir (arba) potencialu), ryšys su VPS tema (jei taikoma)</v>
      </c>
      <c r="C786" s="677">
        <f>'10'!N17</f>
        <v>0</v>
      </c>
    </row>
    <row r="787" spans="1:3" x14ac:dyDescent="0.3">
      <c r="A787" s="2" t="s">
        <v>198</v>
      </c>
      <c r="B787" s="671" t="str">
        <f t="shared" si="18"/>
        <v>Pokytis, kurio siekiama VPS priemone</v>
      </c>
      <c r="C787" s="677">
        <f>'10'!N18</f>
        <v>0</v>
      </c>
    </row>
    <row r="788" spans="1:3" ht="28.8" x14ac:dyDescent="0.3">
      <c r="A788" s="2" t="s">
        <v>199</v>
      </c>
      <c r="B788" s="509" t="str">
        <f t="shared" si="18"/>
        <v>Kaip priemonė prisidės prie horizontalaus tikslo d įgyvendinimo? (pildoma, jei taikoma)</v>
      </c>
      <c r="C788" s="677">
        <f>'10'!N19</f>
        <v>0</v>
      </c>
    </row>
    <row r="789" spans="1:3" ht="28.8" x14ac:dyDescent="0.3">
      <c r="A789" s="2" t="s">
        <v>200</v>
      </c>
      <c r="B789" s="509" t="str">
        <f t="shared" si="18"/>
        <v>Kaip priemonė prisidės prie horizontalaus tikslo e įgyvendinimo? (pildoma, jei taikoma)</v>
      </c>
      <c r="C789" s="677">
        <f>'10'!N20</f>
        <v>0</v>
      </c>
    </row>
    <row r="790" spans="1:3" ht="28.8" x14ac:dyDescent="0.3">
      <c r="A790" s="2" t="s">
        <v>201</v>
      </c>
      <c r="B790" s="509" t="str">
        <f t="shared" si="18"/>
        <v>Kaip priemonė prisidės prie horizontalaus tikslo f įgyvendinimo? (pildoma, jei taikoma)</v>
      </c>
      <c r="C790" s="677">
        <f>'10'!N21</f>
        <v>0</v>
      </c>
    </row>
    <row r="791" spans="1:3" ht="28.8" x14ac:dyDescent="0.3">
      <c r="A791" s="2" t="s">
        <v>202</v>
      </c>
      <c r="B791" s="509" t="str">
        <f t="shared" si="18"/>
        <v>Kaip priemonė prisidės prie horizontalaus tikslo i įgyvendinimo? (pildoma, jei taikoma)</v>
      </c>
      <c r="C791" s="677">
        <f>'10'!N22</f>
        <v>0</v>
      </c>
    </row>
    <row r="792" spans="1:3" ht="28.8" x14ac:dyDescent="0.3">
      <c r="A792" s="2" t="s">
        <v>203</v>
      </c>
      <c r="B792" s="675" t="str">
        <f t="shared" si="18"/>
        <v>B dalis. Pareiškėjų ir projektų tinkamumo sąlygos, projektų atrankos principai:</v>
      </c>
      <c r="C792" s="676"/>
    </row>
    <row r="793" spans="1:3" x14ac:dyDescent="0.3">
      <c r="A793" s="2" t="s">
        <v>204</v>
      </c>
      <c r="B793" s="509" t="str">
        <f t="shared" si="18"/>
        <v>Pagal priemonę remiamos veiklos</v>
      </c>
      <c r="C793" s="677">
        <f>'10'!N24</f>
        <v>0</v>
      </c>
    </row>
    <row r="794" spans="1:3" ht="28.8" x14ac:dyDescent="0.3">
      <c r="A794" s="2" t="s">
        <v>205</v>
      </c>
      <c r="B794" s="671" t="str">
        <f t="shared" si="18"/>
        <v>Tinkami pareiškėjai ir partneriai (jei taikomas reikalavimas projektus įgyvendinti su partneriais)</v>
      </c>
      <c r="C794" s="677">
        <f>'10'!N25</f>
        <v>0</v>
      </c>
    </row>
    <row r="795" spans="1:3" ht="28.8" x14ac:dyDescent="0.3">
      <c r="A795" s="2" t="s">
        <v>206</v>
      </c>
      <c r="B795" s="671" t="str">
        <f t="shared" si="18"/>
        <v>Priemonės tikslinė grupė (pildoma, jei nesutampa su tinkamais pareiškėjais ir (arba) partneriais)</v>
      </c>
      <c r="C795" s="677">
        <f>'10'!N26</f>
        <v>0</v>
      </c>
    </row>
    <row r="796" spans="1:3" x14ac:dyDescent="0.3">
      <c r="A796" s="2" t="s">
        <v>725</v>
      </c>
      <c r="B796" s="509" t="str">
        <f t="shared" si="18"/>
        <v>Tinkamumo sąlygos pareiškėjams ir projektams</v>
      </c>
      <c r="C796" s="677">
        <f>'10'!N27</f>
        <v>0</v>
      </c>
    </row>
    <row r="797" spans="1:3" x14ac:dyDescent="0.3">
      <c r="A797" s="2" t="s">
        <v>726</v>
      </c>
      <c r="B797" s="673" t="str">
        <f t="shared" si="18"/>
        <v>Projektų atrankos principai</v>
      </c>
      <c r="C797" s="677">
        <f>'10'!N28</f>
        <v>0</v>
      </c>
    </row>
    <row r="798" spans="1:3" x14ac:dyDescent="0.3">
      <c r="A798" s="2" t="s">
        <v>727</v>
      </c>
      <c r="B798" s="509" t="str">
        <f t="shared" si="18"/>
        <v>Planuojamų kvietimų teikti paraiškas skaičius</v>
      </c>
      <c r="C798" s="670">
        <f>'10'!N29</f>
        <v>0</v>
      </c>
    </row>
    <row r="799" spans="1:3" x14ac:dyDescent="0.3">
      <c r="A799" s="2" t="s">
        <v>728</v>
      </c>
      <c r="B799" s="651" t="str">
        <f t="shared" si="18"/>
        <v>C dalis. Paramos dydžiai:</v>
      </c>
      <c r="C799" s="676"/>
    </row>
    <row r="800" spans="1:3" x14ac:dyDescent="0.3">
      <c r="A800" s="2" t="s">
        <v>729</v>
      </c>
      <c r="B800" s="509" t="str">
        <f t="shared" si="18"/>
        <v>Didžiausia paramos suma vietos projektui, Eur</v>
      </c>
      <c r="C800" s="677">
        <f>'10'!N31</f>
        <v>0</v>
      </c>
    </row>
    <row r="801" spans="1:3" x14ac:dyDescent="0.3">
      <c r="A801" s="2" t="s">
        <v>730</v>
      </c>
      <c r="B801" s="509" t="str">
        <f t="shared" si="18"/>
        <v xml:space="preserve">Paramos lyginamoji dalis, proc. </v>
      </c>
      <c r="C801" s="677">
        <f>'10'!N32</f>
        <v>0</v>
      </c>
    </row>
    <row r="802" spans="1:3" x14ac:dyDescent="0.3">
      <c r="A802" s="2" t="s">
        <v>731</v>
      </c>
      <c r="B802" s="509" t="str">
        <f t="shared" si="18"/>
        <v>Planuojama paramos suma priemonei, Eur</v>
      </c>
      <c r="C802" s="678">
        <f>'10'!N33</f>
        <v>0</v>
      </c>
    </row>
    <row r="803" spans="1:3" x14ac:dyDescent="0.3">
      <c r="A803" s="2" t="s">
        <v>732</v>
      </c>
      <c r="B803" s="509" t="str">
        <f t="shared" si="18"/>
        <v>Planuojama paremti projektų (rodiklis L700)</v>
      </c>
      <c r="C803" s="679">
        <f>'10'!N34</f>
        <v>0</v>
      </c>
    </row>
    <row r="804" spans="1:3" x14ac:dyDescent="0.3">
      <c r="A804" s="2" t="s">
        <v>733</v>
      </c>
      <c r="B804" s="509" t="str">
        <f t="shared" si="18"/>
        <v>Paaiškinimas, kaip nustatyta rodiklio L700 reikšmė</v>
      </c>
      <c r="C804" s="677">
        <f>'10'!N35</f>
        <v>0</v>
      </c>
    </row>
    <row r="805" spans="1:3" ht="28.8" x14ac:dyDescent="0.3">
      <c r="A805" s="2" t="s">
        <v>734</v>
      </c>
      <c r="B805" s="651" t="str">
        <f t="shared" si="18"/>
        <v>D dalis. Priemonės indėlis į ES ir nacionalinių horizontaliųjų principų įgyvendinimą:</v>
      </c>
      <c r="C805" s="676"/>
    </row>
    <row r="806" spans="1:3" x14ac:dyDescent="0.3">
      <c r="A806" s="2" t="s">
        <v>735</v>
      </c>
      <c r="B806" s="680" t="str">
        <f t="shared" si="18"/>
        <v>Subregioninės vietovės principas:</v>
      </c>
      <c r="C806" s="676"/>
    </row>
    <row r="807" spans="1:3" ht="28.8" x14ac:dyDescent="0.3">
      <c r="A807" s="2" t="s">
        <v>736</v>
      </c>
      <c r="B807" s="509" t="str">
        <f t="shared" si="18"/>
        <v>Ar siekiama, kad pagal priemonę finansuojami projektai apimtų visas VVG teritorijos seniūnijas?</v>
      </c>
      <c r="C807" s="672" t="str">
        <f>'10'!N38</f>
        <v>Ne</v>
      </c>
    </row>
    <row r="808" spans="1:3" x14ac:dyDescent="0.3">
      <c r="A808" s="2" t="s">
        <v>737</v>
      </c>
      <c r="B808" s="509" t="str">
        <f t="shared" si="18"/>
        <v>Pasirinkimo pagrindimas</v>
      </c>
      <c r="C808" s="677">
        <f>'10'!N39</f>
        <v>0</v>
      </c>
    </row>
    <row r="809" spans="1:3" x14ac:dyDescent="0.3">
      <c r="A809" s="2" t="s">
        <v>738</v>
      </c>
      <c r="B809" s="680" t="str">
        <f t="shared" si="18"/>
        <v>Partnerystės principas:</v>
      </c>
      <c r="C809" s="676"/>
    </row>
    <row r="810" spans="1:3" ht="28.8" x14ac:dyDescent="0.3">
      <c r="A810" s="2" t="s">
        <v>739</v>
      </c>
      <c r="B810" s="509" t="str">
        <f t="shared" si="18"/>
        <v>Ar siekiama, kad pagal priemonę finansuojami projektai būtų vykdomi su partneriais?</v>
      </c>
      <c r="C810" s="672" t="str">
        <f>'10'!N41</f>
        <v>Ne</v>
      </c>
    </row>
    <row r="811" spans="1:3" x14ac:dyDescent="0.3">
      <c r="A811" s="2" t="s">
        <v>740</v>
      </c>
      <c r="B811" s="509" t="str">
        <f t="shared" si="18"/>
        <v>Pasirinkimo pagrindimas</v>
      </c>
      <c r="C811" s="677">
        <f>'10'!N42</f>
        <v>0</v>
      </c>
    </row>
    <row r="812" spans="1:3" x14ac:dyDescent="0.3">
      <c r="A812" s="2" t="s">
        <v>741</v>
      </c>
      <c r="B812" s="680" t="str">
        <f t="shared" si="18"/>
        <v>Inovacijų principas:</v>
      </c>
      <c r="C812" s="676"/>
    </row>
    <row r="813" spans="1:3" ht="28.8" x14ac:dyDescent="0.3">
      <c r="A813" s="2" t="s">
        <v>742</v>
      </c>
      <c r="B813" s="509" t="str">
        <f t="shared" si="18"/>
        <v>Ar siekiama, kad pagal priemonę finansuojami projektai būtų skirti inovacijoms vietos lygiu diegti?</v>
      </c>
      <c r="C813" s="672" t="str">
        <f>'10'!N44</f>
        <v>Ne</v>
      </c>
    </row>
    <row r="814" spans="1:3" x14ac:dyDescent="0.3">
      <c r="A814" s="2" t="s">
        <v>743</v>
      </c>
      <c r="B814" s="509" t="str">
        <f t="shared" si="18"/>
        <v>Pasirinkimo pagrindimas</v>
      </c>
      <c r="C814" s="677">
        <f>'10'!N45</f>
        <v>0</v>
      </c>
    </row>
    <row r="815" spans="1:3" ht="28.8" x14ac:dyDescent="0.3">
      <c r="A815" s="2" t="s">
        <v>744</v>
      </c>
      <c r="B815" s="509" t="str">
        <f t="shared" si="18"/>
        <v>Planuojama paremti projektų, skirtų inovacijoms vietos lygiu diegti (rodiklis L710)</v>
      </c>
      <c r="C815" s="679">
        <f>'10'!N46</f>
        <v>0</v>
      </c>
    </row>
    <row r="816" spans="1:3" x14ac:dyDescent="0.3">
      <c r="A816" s="2" t="s">
        <v>745</v>
      </c>
      <c r="B816" s="680" t="str">
        <f t="shared" si="18"/>
        <v>Lyčių lygybė ir nediskriminavimas:</v>
      </c>
      <c r="C816" s="676"/>
    </row>
    <row r="817" spans="1:3" ht="28.8" x14ac:dyDescent="0.3">
      <c r="A817" s="2" t="s">
        <v>746</v>
      </c>
      <c r="B817" s="509" t="str">
        <f t="shared" si="18"/>
        <v>Ar pagal priemonę finansuojami projektai, skirti lyčių lygybei ir nediskriminavimui?</v>
      </c>
      <c r="C817" s="672" t="str">
        <f>'10'!N48</f>
        <v>Ne</v>
      </c>
    </row>
    <row r="818" spans="1:3" x14ac:dyDescent="0.3">
      <c r="A818" s="2" t="s">
        <v>747</v>
      </c>
      <c r="B818" s="509" t="str">
        <f t="shared" si="18"/>
        <v>Pasirinkimo pagrindimas (jei taip, kaip bus užtikrinta)</v>
      </c>
      <c r="C818" s="677">
        <f>'10'!N49</f>
        <v>0</v>
      </c>
    </row>
    <row r="819" spans="1:3" x14ac:dyDescent="0.3">
      <c r="A819" s="2" t="s">
        <v>748</v>
      </c>
      <c r="B819" s="680" t="str">
        <f t="shared" si="18"/>
        <v>Jaunimas:</v>
      </c>
      <c r="C819" s="676"/>
    </row>
    <row r="820" spans="1:3" x14ac:dyDescent="0.3">
      <c r="A820" s="2" t="s">
        <v>749</v>
      </c>
      <c r="B820" s="509" t="str">
        <f t="shared" si="18"/>
        <v>Ar pagal priemonę finansuojami projektai, skirti jaunimui?</v>
      </c>
      <c r="C820" s="672" t="str">
        <f>'10'!N51</f>
        <v>Ne</v>
      </c>
    </row>
    <row r="821" spans="1:3" x14ac:dyDescent="0.3">
      <c r="A821" s="2" t="s">
        <v>750</v>
      </c>
      <c r="B821" s="509" t="str">
        <f t="shared" si="18"/>
        <v>Pasirinkimo pagrindimas (jei taip, kaip bus užtikrinta)</v>
      </c>
      <c r="C821" s="677">
        <f>'10'!N52</f>
        <v>0</v>
      </c>
    </row>
    <row r="822" spans="1:3" x14ac:dyDescent="0.3">
      <c r="A822" s="2" t="s">
        <v>751</v>
      </c>
      <c r="B822" s="675" t="str">
        <f t="shared" si="18"/>
        <v>E dalis. Priemonės rezultato rodikliai:</v>
      </c>
      <c r="C822" s="676"/>
    </row>
    <row r="823" spans="1:3" x14ac:dyDescent="0.3">
      <c r="A823" s="2" t="s">
        <v>752</v>
      </c>
      <c r="B823" s="680" t="str">
        <f t="shared" si="18"/>
        <v>SP rezultato rodiklių taikymas priemonei:</v>
      </c>
      <c r="C823" s="676"/>
    </row>
    <row r="824" spans="1:3" x14ac:dyDescent="0.3">
      <c r="A824" s="2" t="s">
        <v>753</v>
      </c>
      <c r="B824" s="681" t="str">
        <f t="shared" si="18"/>
        <v>R.3</v>
      </c>
      <c r="C824" s="687" t="str">
        <f>'10'!N55</f>
        <v>Ne</v>
      </c>
    </row>
    <row r="825" spans="1:3" x14ac:dyDescent="0.3">
      <c r="A825" s="2" t="s">
        <v>754</v>
      </c>
      <c r="B825" s="681" t="str">
        <f t="shared" si="18"/>
        <v>R.37</v>
      </c>
      <c r="C825" s="687" t="str">
        <f>'10'!N56</f>
        <v>Ne</v>
      </c>
    </row>
    <row r="826" spans="1:3" x14ac:dyDescent="0.3">
      <c r="A826" s="2" t="s">
        <v>755</v>
      </c>
      <c r="B826" s="681" t="str">
        <f t="shared" si="18"/>
        <v>R.39</v>
      </c>
      <c r="C826" s="687" t="str">
        <f>'10'!N57</f>
        <v>Ne</v>
      </c>
    </row>
    <row r="827" spans="1:3" x14ac:dyDescent="0.3">
      <c r="A827" s="2" t="s">
        <v>756</v>
      </c>
      <c r="B827" s="681" t="str">
        <f t="shared" si="18"/>
        <v>R.41</v>
      </c>
      <c r="C827" s="687" t="str">
        <f>'10'!N58</f>
        <v>Ne</v>
      </c>
    </row>
    <row r="828" spans="1:3" x14ac:dyDescent="0.3">
      <c r="A828" s="2" t="s">
        <v>757</v>
      </c>
      <c r="B828" s="681" t="str">
        <f t="shared" si="18"/>
        <v>R.42</v>
      </c>
      <c r="C828" s="687" t="str">
        <f>'10'!N59</f>
        <v>Ne</v>
      </c>
    </row>
    <row r="829" spans="1:3" x14ac:dyDescent="0.3">
      <c r="A829" s="2" t="s">
        <v>758</v>
      </c>
      <c r="B829" s="680" t="str">
        <f t="shared" si="18"/>
        <v>VPS rodiklių taikymas priemonei:</v>
      </c>
      <c r="C829" s="688"/>
    </row>
    <row r="830" spans="1:3" x14ac:dyDescent="0.3">
      <c r="A830" s="2" t="s">
        <v>759</v>
      </c>
      <c r="B830" s="681" t="str">
        <f t="shared" si="18"/>
        <v>TRAK-P.1</v>
      </c>
      <c r="C830" s="687" t="str">
        <f>'10'!N61</f>
        <v>Ne</v>
      </c>
    </row>
    <row r="831" spans="1:3" x14ac:dyDescent="0.3">
      <c r="A831" s="2" t="s">
        <v>760</v>
      </c>
      <c r="B831" s="681" t="str">
        <f t="shared" si="18"/>
        <v>TRAK-P.2</v>
      </c>
      <c r="C831" s="687" t="str">
        <f>'10'!N62</f>
        <v>Ne</v>
      </c>
    </row>
    <row r="832" spans="1:3" x14ac:dyDescent="0.3">
      <c r="A832" s="2" t="s">
        <v>761</v>
      </c>
      <c r="B832" s="681" t="str">
        <f t="shared" si="18"/>
        <v>TRAK-P.3</v>
      </c>
      <c r="C832" s="687" t="str">
        <f>'10'!N63</f>
        <v>Ne</v>
      </c>
    </row>
    <row r="833" spans="1:3" x14ac:dyDescent="0.3">
      <c r="A833" s="2" t="s">
        <v>762</v>
      </c>
      <c r="B833" s="681" t="str">
        <f t="shared" si="18"/>
        <v>TRAK-P.4</v>
      </c>
      <c r="C833" s="687" t="str">
        <f>'10'!N64</f>
        <v>Ne</v>
      </c>
    </row>
    <row r="834" spans="1:3" x14ac:dyDescent="0.3">
      <c r="A834" s="2" t="s">
        <v>763</v>
      </c>
      <c r="B834" s="681" t="str">
        <f t="shared" si="18"/>
        <v>TRAK-P.5</v>
      </c>
      <c r="C834" s="687" t="str">
        <f>'10'!N65</f>
        <v>Ne</v>
      </c>
    </row>
    <row r="835" spans="1:3" x14ac:dyDescent="0.3">
      <c r="A835" s="2" t="s">
        <v>764</v>
      </c>
      <c r="B835" s="681" t="str">
        <f t="shared" si="18"/>
        <v>TRAK-P.6</v>
      </c>
      <c r="C835" s="687" t="str">
        <f>'10'!N66</f>
        <v>Ne</v>
      </c>
    </row>
    <row r="836" spans="1:3" x14ac:dyDescent="0.3">
      <c r="A836" s="2" t="s">
        <v>765</v>
      </c>
      <c r="B836" s="681" t="str">
        <f t="shared" si="18"/>
        <v>TRAK-P.7</v>
      </c>
      <c r="C836" s="687" t="str">
        <f>'10'!N67</f>
        <v>Ne</v>
      </c>
    </row>
    <row r="837" spans="1:3" x14ac:dyDescent="0.3">
      <c r="A837" s="2" t="s">
        <v>766</v>
      </c>
      <c r="B837" s="681" t="str">
        <f t="shared" si="18"/>
        <v>TRAK-P.8</v>
      </c>
      <c r="C837" s="687" t="str">
        <f>'10'!N68</f>
        <v>Ne</v>
      </c>
    </row>
    <row r="838" spans="1:3" x14ac:dyDescent="0.3">
      <c r="A838" s="2" t="s">
        <v>767</v>
      </c>
      <c r="B838" s="681" t="str">
        <f t="shared" si="18"/>
        <v>TRAK-P.9</v>
      </c>
      <c r="C838" s="687" t="str">
        <f>'10'!N69</f>
        <v>Ne</v>
      </c>
    </row>
    <row r="839" spans="1:3" x14ac:dyDescent="0.3">
      <c r="A839" s="2" t="s">
        <v>768</v>
      </c>
      <c r="B839" s="683" t="str">
        <f t="shared" si="18"/>
        <v>TRAK-P.10</v>
      </c>
      <c r="C839" s="689" t="str">
        <f>'10'!N70</f>
        <v>Ne</v>
      </c>
    </row>
    <row r="840" spans="1:3" x14ac:dyDescent="0.3">
      <c r="A840" s="2" t="s">
        <v>769</v>
      </c>
      <c r="B840" s="675" t="str">
        <f t="shared" si="18"/>
        <v>F dalis. Pagal priemonę remiamų projektų pobūdis:</v>
      </c>
      <c r="C840" s="676"/>
    </row>
    <row r="841" spans="1:3" x14ac:dyDescent="0.3">
      <c r="A841" s="2" t="s">
        <v>770</v>
      </c>
      <c r="B841" s="671" t="str">
        <f t="shared" ref="B841:B850" si="19">B764</f>
        <v>Remiami pelno projektai</v>
      </c>
      <c r="C841" s="672" t="str">
        <f>'10'!N72</f>
        <v>Ne</v>
      </c>
    </row>
    <row r="842" spans="1:3" ht="57.6" x14ac:dyDescent="0.3">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57.6" x14ac:dyDescent="0.3">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3.2" x14ac:dyDescent="0.3">
      <c r="A844" s="2" t="s">
        <v>773</v>
      </c>
      <c r="B844" s="673" t="str">
        <f t="shared" si="19"/>
        <v>Remiami projektai, susiję su atsinaujinančios energijos gamybos pajėgumais, įskaitant biologinę (aktualu rodikliui L803)</v>
      </c>
      <c r="C844" s="672" t="str">
        <f>'10'!N75</f>
        <v>Ne</v>
      </c>
    </row>
    <row r="845" spans="1:3" ht="43.2" x14ac:dyDescent="0.3">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28.8" x14ac:dyDescent="0.3">
      <c r="A846" s="2" t="s">
        <v>775</v>
      </c>
      <c r="B846" s="673" t="str">
        <f t="shared" si="19"/>
        <v>Remiami projektai, kurie kuria darbo vietas (aktualu rodikliui L805)</v>
      </c>
      <c r="C846" s="672" t="str">
        <f>'10'!N77</f>
        <v>Ne</v>
      </c>
    </row>
    <row r="847" spans="1:3" ht="28.8" x14ac:dyDescent="0.3">
      <c r="A847" s="2" t="s">
        <v>776</v>
      </c>
      <c r="B847" s="673" t="str">
        <f t="shared" si="19"/>
        <v>Remiami kaimo verslų, įskaitant bioekonomiką, projektai (aktualu rodikliui L 806)</v>
      </c>
      <c r="C847" s="672" t="str">
        <f>'10'!N78</f>
        <v>Ne</v>
      </c>
    </row>
    <row r="848" spans="1:3" ht="28.8" x14ac:dyDescent="0.3">
      <c r="A848" s="2" t="s">
        <v>777</v>
      </c>
      <c r="B848" s="673" t="str">
        <f t="shared" si="19"/>
        <v>Remiami projektai, susiję su sumanių kaimų strategijomis (aktualu rodikliui L807)</v>
      </c>
      <c r="C848" s="672" t="str">
        <f>'10'!N79</f>
        <v>Ne</v>
      </c>
    </row>
    <row r="849" spans="1:3" ht="28.8" x14ac:dyDescent="0.3">
      <c r="A849" s="2" t="s">
        <v>778</v>
      </c>
      <c r="B849" s="673" t="str">
        <f t="shared" si="19"/>
        <v>Remiami projektai, gerinantys paslaugų prieinamumą ir infrastruktūrą (aktualu rodikliui L808)</v>
      </c>
      <c r="C849" s="672" t="str">
        <f>'10'!N80</f>
        <v>Ne</v>
      </c>
    </row>
    <row r="850" spans="1:3" ht="28.8" x14ac:dyDescent="0.3">
      <c r="A850" s="2" t="s">
        <v>779</v>
      </c>
      <c r="B850" s="673" t="str">
        <f t="shared" si="19"/>
        <v>Remiami socialinės įtraukties projektai (aktualu rodikliui L809)</v>
      </c>
      <c r="C850" s="672" t="str">
        <f>'10'!N81</f>
        <v>Ne</v>
      </c>
    </row>
    <row r="851" spans="1:3" x14ac:dyDescent="0.3">
      <c r="B851" s="649"/>
      <c r="C851" s="685"/>
    </row>
    <row r="852" spans="1:3" x14ac:dyDescent="0.3">
      <c r="A852" s="1"/>
      <c r="B852" s="362"/>
      <c r="C852" s="686" t="str">
        <f>'10'!O6</f>
        <v>12 priemonė</v>
      </c>
    </row>
    <row r="853" spans="1:3" x14ac:dyDescent="0.3">
      <c r="A853" s="2" t="s">
        <v>188</v>
      </c>
      <c r="B853" s="509" t="str">
        <f>B776</f>
        <v>Priemonės pavadinimas</v>
      </c>
      <c r="C853" s="670">
        <f>'10'!O7</f>
        <v>0</v>
      </c>
    </row>
    <row r="854" spans="1:3" x14ac:dyDescent="0.3">
      <c r="A854" s="2" t="s">
        <v>189</v>
      </c>
      <c r="B854" s="671" t="str">
        <f t="shared" ref="B854:B917" si="20">B777</f>
        <v>Priemonės rūšis</v>
      </c>
      <c r="C854" s="670">
        <f>'10'!O8</f>
        <v>0</v>
      </c>
    </row>
    <row r="855" spans="1:3" x14ac:dyDescent="0.3">
      <c r="A855" s="2" t="s">
        <v>190</v>
      </c>
      <c r="B855" s="671" t="str">
        <f t="shared" si="20"/>
        <v>VVG teritorijos poreikių, kuriuos tenkina priemonė, skaičius</v>
      </c>
      <c r="C855" s="670">
        <f>'10'!O9</f>
        <v>0</v>
      </c>
    </row>
    <row r="856" spans="1:3" x14ac:dyDescent="0.3">
      <c r="A856" s="2" t="s">
        <v>191</v>
      </c>
      <c r="B856" s="671" t="str">
        <f t="shared" si="20"/>
        <v>BŽŪP tikslų, kuriuos įgyvendina priemonė, skaičius</v>
      </c>
      <c r="C856" s="670">
        <f>'10'!O10</f>
        <v>0</v>
      </c>
    </row>
    <row r="857" spans="1:3" x14ac:dyDescent="0.3">
      <c r="A857" s="2" t="s">
        <v>192</v>
      </c>
      <c r="B857" s="671" t="str">
        <f t="shared" si="20"/>
        <v>Pagrindinis BŽŪP tikslas, kurį įgyvendina VPS priemonė</v>
      </c>
      <c r="C857" s="672" t="str">
        <f>'10'!O11</f>
        <v>Pasirinkite</v>
      </c>
    </row>
    <row r="858" spans="1:3" ht="28.8" x14ac:dyDescent="0.3">
      <c r="A858" s="2" t="s">
        <v>193</v>
      </c>
      <c r="B858" s="673" t="str">
        <f t="shared" si="20"/>
        <v>Ar priemonė prisideda prie 4 konkretaus BŽŪP tikslo? (tikslas nurodytas 5 lape)</v>
      </c>
      <c r="C858" s="672" t="str">
        <f>'10'!O12</f>
        <v>Ne</v>
      </c>
    </row>
    <row r="859" spans="1:3" ht="28.8" x14ac:dyDescent="0.3">
      <c r="A859" s="2" t="s">
        <v>194</v>
      </c>
      <c r="B859" s="673" t="str">
        <f t="shared" si="20"/>
        <v>Ar priemonė prisideda prie 5 konkretaus BŽŪP tikslo? (tikslas nurodytas 5 lape)</v>
      </c>
      <c r="C859" s="672" t="str">
        <f>'10'!O13</f>
        <v>Ne</v>
      </c>
    </row>
    <row r="860" spans="1:3" ht="28.8" x14ac:dyDescent="0.3">
      <c r="A860" s="2" t="s">
        <v>195</v>
      </c>
      <c r="B860" s="673" t="str">
        <f t="shared" si="20"/>
        <v>Ar priemonė prisideda prie 6 konkretaus BŽŪP tikslo? (tikslas nurodytas 5 lape)</v>
      </c>
      <c r="C860" s="672" t="str">
        <f>'10'!O14</f>
        <v>Ne</v>
      </c>
    </row>
    <row r="861" spans="1:3" ht="28.8" x14ac:dyDescent="0.3">
      <c r="A861" s="2" t="s">
        <v>196</v>
      </c>
      <c r="B861" s="673" t="str">
        <f t="shared" si="20"/>
        <v>Ar priemonė prisideda prie 9 konkretaus BŽŪP tikslo? (tikslas nurodytas 5 lape)</v>
      </c>
      <c r="C861" s="672" t="str">
        <f>'10'!O15</f>
        <v>Ne</v>
      </c>
    </row>
    <row r="862" spans="1:3" x14ac:dyDescent="0.3">
      <c r="A862" s="2" t="s">
        <v>94</v>
      </c>
      <c r="B862" s="675" t="str">
        <f t="shared" si="20"/>
        <v>A dalis. Priemonės intervencijos logika:</v>
      </c>
      <c r="C862" s="676"/>
    </row>
    <row r="863" spans="1:3" ht="43.2" x14ac:dyDescent="0.3">
      <c r="A863" s="2" t="s">
        <v>197</v>
      </c>
      <c r="B863" s="673" t="str">
        <f t="shared" si="20"/>
        <v>Priemonės tikslas, ryšys su pagrindiniu BŽŪP tikslu ir VVG teritorijos poreikiais (problemomis ir (arba) potencialu), ryšys su VPS tema (jei taikoma)</v>
      </c>
      <c r="C863" s="677">
        <f>'10'!O17</f>
        <v>0</v>
      </c>
    </row>
    <row r="864" spans="1:3" x14ac:dyDescent="0.3">
      <c r="A864" s="2" t="s">
        <v>198</v>
      </c>
      <c r="B864" s="671" t="str">
        <f t="shared" si="20"/>
        <v>Pokytis, kurio siekiama VPS priemone</v>
      </c>
      <c r="C864" s="677">
        <f>'10'!O18</f>
        <v>0</v>
      </c>
    </row>
    <row r="865" spans="1:3" ht="28.8" x14ac:dyDescent="0.3">
      <c r="A865" s="2" t="s">
        <v>199</v>
      </c>
      <c r="B865" s="509" t="str">
        <f t="shared" si="20"/>
        <v>Kaip priemonė prisidės prie horizontalaus tikslo d įgyvendinimo? (pildoma, jei taikoma)</v>
      </c>
      <c r="C865" s="677">
        <f>'10'!O19</f>
        <v>0</v>
      </c>
    </row>
    <row r="866" spans="1:3" ht="28.8" x14ac:dyDescent="0.3">
      <c r="A866" s="2" t="s">
        <v>200</v>
      </c>
      <c r="B866" s="509" t="str">
        <f t="shared" si="20"/>
        <v>Kaip priemonė prisidės prie horizontalaus tikslo e įgyvendinimo? (pildoma, jei taikoma)</v>
      </c>
      <c r="C866" s="677">
        <f>'10'!O20</f>
        <v>0</v>
      </c>
    </row>
    <row r="867" spans="1:3" ht="28.8" x14ac:dyDescent="0.3">
      <c r="A867" s="2" t="s">
        <v>201</v>
      </c>
      <c r="B867" s="509" t="str">
        <f t="shared" si="20"/>
        <v>Kaip priemonė prisidės prie horizontalaus tikslo f įgyvendinimo? (pildoma, jei taikoma)</v>
      </c>
      <c r="C867" s="677">
        <f>'10'!O21</f>
        <v>0</v>
      </c>
    </row>
    <row r="868" spans="1:3" ht="28.8" x14ac:dyDescent="0.3">
      <c r="A868" s="2" t="s">
        <v>202</v>
      </c>
      <c r="B868" s="509" t="str">
        <f t="shared" si="20"/>
        <v>Kaip priemonė prisidės prie horizontalaus tikslo i įgyvendinimo? (pildoma, jei taikoma)</v>
      </c>
      <c r="C868" s="677">
        <f>'10'!O22</f>
        <v>0</v>
      </c>
    </row>
    <row r="869" spans="1:3" ht="28.8" x14ac:dyDescent="0.3">
      <c r="A869" s="2" t="s">
        <v>203</v>
      </c>
      <c r="B869" s="675" t="str">
        <f t="shared" si="20"/>
        <v>B dalis. Pareiškėjų ir projektų tinkamumo sąlygos, projektų atrankos principai:</v>
      </c>
      <c r="C869" s="676"/>
    </row>
    <row r="870" spans="1:3" x14ac:dyDescent="0.3">
      <c r="A870" s="2" t="s">
        <v>204</v>
      </c>
      <c r="B870" s="509" t="str">
        <f t="shared" si="20"/>
        <v>Pagal priemonę remiamos veiklos</v>
      </c>
      <c r="C870" s="677">
        <f>'10'!O24</f>
        <v>0</v>
      </c>
    </row>
    <row r="871" spans="1:3" ht="28.8" x14ac:dyDescent="0.3">
      <c r="A871" s="2" t="s">
        <v>205</v>
      </c>
      <c r="B871" s="671" t="str">
        <f t="shared" si="20"/>
        <v>Tinkami pareiškėjai ir partneriai (jei taikomas reikalavimas projektus įgyvendinti su partneriais)</v>
      </c>
      <c r="C871" s="677">
        <f>'10'!O25</f>
        <v>0</v>
      </c>
    </row>
    <row r="872" spans="1:3" ht="28.8" x14ac:dyDescent="0.3">
      <c r="A872" s="2" t="s">
        <v>206</v>
      </c>
      <c r="B872" s="671" t="str">
        <f t="shared" si="20"/>
        <v>Priemonės tikslinė grupė (pildoma, jei nesutampa su tinkamais pareiškėjais ir (arba) partneriais)</v>
      </c>
      <c r="C872" s="677">
        <f>'10'!O26</f>
        <v>0</v>
      </c>
    </row>
    <row r="873" spans="1:3" x14ac:dyDescent="0.3">
      <c r="A873" s="2" t="s">
        <v>725</v>
      </c>
      <c r="B873" s="509" t="str">
        <f t="shared" si="20"/>
        <v>Tinkamumo sąlygos pareiškėjams ir projektams</v>
      </c>
      <c r="C873" s="677">
        <f>'10'!O27</f>
        <v>0</v>
      </c>
    </row>
    <row r="874" spans="1:3" x14ac:dyDescent="0.3">
      <c r="A874" s="2" t="s">
        <v>726</v>
      </c>
      <c r="B874" s="673" t="str">
        <f t="shared" si="20"/>
        <v>Projektų atrankos principai</v>
      </c>
      <c r="C874" s="677">
        <f>'10'!O28</f>
        <v>0</v>
      </c>
    </row>
    <row r="875" spans="1:3" x14ac:dyDescent="0.3">
      <c r="A875" s="2" t="s">
        <v>727</v>
      </c>
      <c r="B875" s="509" t="str">
        <f t="shared" si="20"/>
        <v>Planuojamų kvietimų teikti paraiškas skaičius</v>
      </c>
      <c r="C875" s="670">
        <f>'10'!O29</f>
        <v>0</v>
      </c>
    </row>
    <row r="876" spans="1:3" x14ac:dyDescent="0.3">
      <c r="A876" s="2" t="s">
        <v>728</v>
      </c>
      <c r="B876" s="651" t="str">
        <f t="shared" si="20"/>
        <v>C dalis. Paramos dydžiai:</v>
      </c>
      <c r="C876" s="676"/>
    </row>
    <row r="877" spans="1:3" x14ac:dyDescent="0.3">
      <c r="A877" s="2" t="s">
        <v>729</v>
      </c>
      <c r="B877" s="509" t="str">
        <f t="shared" si="20"/>
        <v>Didžiausia paramos suma vietos projektui, Eur</v>
      </c>
      <c r="C877" s="677">
        <f>'10'!O31</f>
        <v>0</v>
      </c>
    </row>
    <row r="878" spans="1:3" x14ac:dyDescent="0.3">
      <c r="A878" s="2" t="s">
        <v>730</v>
      </c>
      <c r="B878" s="509" t="str">
        <f t="shared" si="20"/>
        <v xml:space="preserve">Paramos lyginamoji dalis, proc. </v>
      </c>
      <c r="C878" s="677">
        <f>'10'!O32</f>
        <v>0</v>
      </c>
    </row>
    <row r="879" spans="1:3" x14ac:dyDescent="0.3">
      <c r="A879" s="2" t="s">
        <v>731</v>
      </c>
      <c r="B879" s="509" t="str">
        <f t="shared" si="20"/>
        <v>Planuojama paramos suma priemonei, Eur</v>
      </c>
      <c r="C879" s="678">
        <f>'10'!O33</f>
        <v>0</v>
      </c>
    </row>
    <row r="880" spans="1:3" x14ac:dyDescent="0.3">
      <c r="A880" s="2" t="s">
        <v>732</v>
      </c>
      <c r="B880" s="509" t="str">
        <f t="shared" si="20"/>
        <v>Planuojama paremti projektų (rodiklis L700)</v>
      </c>
      <c r="C880" s="679">
        <f>'10'!O34</f>
        <v>0</v>
      </c>
    </row>
    <row r="881" spans="1:3" x14ac:dyDescent="0.3">
      <c r="A881" s="2" t="s">
        <v>733</v>
      </c>
      <c r="B881" s="509" t="str">
        <f t="shared" si="20"/>
        <v>Paaiškinimas, kaip nustatyta rodiklio L700 reikšmė</v>
      </c>
      <c r="C881" s="677">
        <f>'10'!O35</f>
        <v>0</v>
      </c>
    </row>
    <row r="882" spans="1:3" ht="28.8" x14ac:dyDescent="0.3">
      <c r="A882" s="2" t="s">
        <v>734</v>
      </c>
      <c r="B882" s="651" t="str">
        <f t="shared" si="20"/>
        <v>D dalis. Priemonės indėlis į ES ir nacionalinių horizontaliųjų principų įgyvendinimą:</v>
      </c>
      <c r="C882" s="676"/>
    </row>
    <row r="883" spans="1:3" x14ac:dyDescent="0.3">
      <c r="A883" s="2" t="s">
        <v>735</v>
      </c>
      <c r="B883" s="680" t="str">
        <f t="shared" si="20"/>
        <v>Subregioninės vietovės principas:</v>
      </c>
      <c r="C883" s="676"/>
    </row>
    <row r="884" spans="1:3" ht="28.8" x14ac:dyDescent="0.3">
      <c r="A884" s="2" t="s">
        <v>736</v>
      </c>
      <c r="B884" s="509" t="str">
        <f t="shared" si="20"/>
        <v>Ar siekiama, kad pagal priemonę finansuojami projektai apimtų visas VVG teritorijos seniūnijas?</v>
      </c>
      <c r="C884" s="672" t="str">
        <f>'10'!O38</f>
        <v>Ne</v>
      </c>
    </row>
    <row r="885" spans="1:3" x14ac:dyDescent="0.3">
      <c r="A885" s="2" t="s">
        <v>737</v>
      </c>
      <c r="B885" s="509" t="str">
        <f t="shared" si="20"/>
        <v>Pasirinkimo pagrindimas</v>
      </c>
      <c r="C885" s="677">
        <f>'10'!O39</f>
        <v>0</v>
      </c>
    </row>
    <row r="886" spans="1:3" x14ac:dyDescent="0.3">
      <c r="A886" s="2" t="s">
        <v>738</v>
      </c>
      <c r="B886" s="680" t="str">
        <f t="shared" si="20"/>
        <v>Partnerystės principas:</v>
      </c>
      <c r="C886" s="676"/>
    </row>
    <row r="887" spans="1:3" ht="28.8" x14ac:dyDescent="0.3">
      <c r="A887" s="2" t="s">
        <v>739</v>
      </c>
      <c r="B887" s="509" t="str">
        <f t="shared" si="20"/>
        <v>Ar siekiama, kad pagal priemonę finansuojami projektai būtų vykdomi su partneriais?</v>
      </c>
      <c r="C887" s="672" t="str">
        <f>'10'!O41</f>
        <v>Ne</v>
      </c>
    </row>
    <row r="888" spans="1:3" x14ac:dyDescent="0.3">
      <c r="A888" s="2" t="s">
        <v>740</v>
      </c>
      <c r="B888" s="509" t="str">
        <f t="shared" si="20"/>
        <v>Pasirinkimo pagrindimas</v>
      </c>
      <c r="C888" s="677">
        <f>'10'!O42</f>
        <v>0</v>
      </c>
    </row>
    <row r="889" spans="1:3" x14ac:dyDescent="0.3">
      <c r="A889" s="2" t="s">
        <v>741</v>
      </c>
      <c r="B889" s="680" t="str">
        <f t="shared" si="20"/>
        <v>Inovacijų principas:</v>
      </c>
      <c r="C889" s="676"/>
    </row>
    <row r="890" spans="1:3" ht="28.8" x14ac:dyDescent="0.3">
      <c r="A890" s="2" t="s">
        <v>742</v>
      </c>
      <c r="B890" s="509" t="str">
        <f t="shared" si="20"/>
        <v>Ar siekiama, kad pagal priemonę finansuojami projektai būtų skirti inovacijoms vietos lygiu diegti?</v>
      </c>
      <c r="C890" s="672" t="str">
        <f>'10'!O44</f>
        <v>Ne</v>
      </c>
    </row>
    <row r="891" spans="1:3" x14ac:dyDescent="0.3">
      <c r="A891" s="2" t="s">
        <v>743</v>
      </c>
      <c r="B891" s="509" t="str">
        <f t="shared" si="20"/>
        <v>Pasirinkimo pagrindimas</v>
      </c>
      <c r="C891" s="677">
        <f>'10'!O45</f>
        <v>0</v>
      </c>
    </row>
    <row r="892" spans="1:3" ht="28.8" x14ac:dyDescent="0.3">
      <c r="A892" s="2" t="s">
        <v>744</v>
      </c>
      <c r="B892" s="509" t="str">
        <f t="shared" si="20"/>
        <v>Planuojama paremti projektų, skirtų inovacijoms vietos lygiu diegti (rodiklis L710)</v>
      </c>
      <c r="C892" s="679">
        <f>'10'!O46</f>
        <v>0</v>
      </c>
    </row>
    <row r="893" spans="1:3" x14ac:dyDescent="0.3">
      <c r="A893" s="2" t="s">
        <v>745</v>
      </c>
      <c r="B893" s="680" t="str">
        <f t="shared" si="20"/>
        <v>Lyčių lygybė ir nediskriminavimas:</v>
      </c>
      <c r="C893" s="676"/>
    </row>
    <row r="894" spans="1:3" ht="28.8" x14ac:dyDescent="0.3">
      <c r="A894" s="2" t="s">
        <v>746</v>
      </c>
      <c r="B894" s="509" t="str">
        <f t="shared" si="20"/>
        <v>Ar pagal priemonę finansuojami projektai, skirti lyčių lygybei ir nediskriminavimui?</v>
      </c>
      <c r="C894" s="672" t="str">
        <f>'10'!O48</f>
        <v>Ne</v>
      </c>
    </row>
    <row r="895" spans="1:3" x14ac:dyDescent="0.3">
      <c r="A895" s="2" t="s">
        <v>747</v>
      </c>
      <c r="B895" s="509" t="str">
        <f t="shared" si="20"/>
        <v>Pasirinkimo pagrindimas (jei taip, kaip bus užtikrinta)</v>
      </c>
      <c r="C895" s="677">
        <f>'10'!O49</f>
        <v>0</v>
      </c>
    </row>
    <row r="896" spans="1:3" x14ac:dyDescent="0.3">
      <c r="A896" s="2" t="s">
        <v>748</v>
      </c>
      <c r="B896" s="680" t="str">
        <f t="shared" si="20"/>
        <v>Jaunimas:</v>
      </c>
      <c r="C896" s="676"/>
    </row>
    <row r="897" spans="1:3" x14ac:dyDescent="0.3">
      <c r="A897" s="2" t="s">
        <v>749</v>
      </c>
      <c r="B897" s="509" t="str">
        <f t="shared" si="20"/>
        <v>Ar pagal priemonę finansuojami projektai, skirti jaunimui?</v>
      </c>
      <c r="C897" s="672" t="str">
        <f>'10'!O51</f>
        <v>Ne</v>
      </c>
    </row>
    <row r="898" spans="1:3" x14ac:dyDescent="0.3">
      <c r="A898" s="2" t="s">
        <v>750</v>
      </c>
      <c r="B898" s="509" t="str">
        <f t="shared" si="20"/>
        <v>Pasirinkimo pagrindimas (jei taip, kaip bus užtikrinta)</v>
      </c>
      <c r="C898" s="677">
        <f>'10'!O52</f>
        <v>0</v>
      </c>
    </row>
    <row r="899" spans="1:3" x14ac:dyDescent="0.3">
      <c r="A899" s="2" t="s">
        <v>751</v>
      </c>
      <c r="B899" s="675" t="str">
        <f t="shared" si="20"/>
        <v>E dalis. Priemonės rezultato rodikliai:</v>
      </c>
      <c r="C899" s="676"/>
    </row>
    <row r="900" spans="1:3" x14ac:dyDescent="0.3">
      <c r="A900" s="2" t="s">
        <v>752</v>
      </c>
      <c r="B900" s="680" t="str">
        <f t="shared" si="20"/>
        <v>SP rezultato rodiklių taikymas priemonei:</v>
      </c>
      <c r="C900" s="676"/>
    </row>
    <row r="901" spans="1:3" x14ac:dyDescent="0.3">
      <c r="A901" s="2" t="s">
        <v>753</v>
      </c>
      <c r="B901" s="681" t="str">
        <f t="shared" si="20"/>
        <v>R.3</v>
      </c>
      <c r="C901" s="687" t="str">
        <f>'10'!O55</f>
        <v>Ne</v>
      </c>
    </row>
    <row r="902" spans="1:3" x14ac:dyDescent="0.3">
      <c r="A902" s="2" t="s">
        <v>754</v>
      </c>
      <c r="B902" s="681" t="str">
        <f t="shared" si="20"/>
        <v>R.37</v>
      </c>
      <c r="C902" s="687" t="str">
        <f>'10'!O56</f>
        <v>Ne</v>
      </c>
    </row>
    <row r="903" spans="1:3" x14ac:dyDescent="0.3">
      <c r="A903" s="2" t="s">
        <v>755</v>
      </c>
      <c r="B903" s="681" t="str">
        <f t="shared" si="20"/>
        <v>R.39</v>
      </c>
      <c r="C903" s="687" t="str">
        <f>'10'!O57</f>
        <v>Ne</v>
      </c>
    </row>
    <row r="904" spans="1:3" x14ac:dyDescent="0.3">
      <c r="A904" s="2" t="s">
        <v>756</v>
      </c>
      <c r="B904" s="681" t="str">
        <f t="shared" si="20"/>
        <v>R.41</v>
      </c>
      <c r="C904" s="687" t="str">
        <f>'10'!O58</f>
        <v>Ne</v>
      </c>
    </row>
    <row r="905" spans="1:3" x14ac:dyDescent="0.3">
      <c r="A905" s="2" t="s">
        <v>757</v>
      </c>
      <c r="B905" s="681" t="str">
        <f t="shared" si="20"/>
        <v>R.42</v>
      </c>
      <c r="C905" s="687" t="str">
        <f>'10'!O59</f>
        <v>Ne</v>
      </c>
    </row>
    <row r="906" spans="1:3" x14ac:dyDescent="0.3">
      <c r="A906" s="2" t="s">
        <v>758</v>
      </c>
      <c r="B906" s="680" t="str">
        <f t="shared" si="20"/>
        <v>VPS rodiklių taikymas priemonei:</v>
      </c>
      <c r="C906" s="688"/>
    </row>
    <row r="907" spans="1:3" x14ac:dyDescent="0.3">
      <c r="A907" s="2" t="s">
        <v>759</v>
      </c>
      <c r="B907" s="681" t="str">
        <f t="shared" si="20"/>
        <v>TRAK-P.1</v>
      </c>
      <c r="C907" s="687" t="str">
        <f>'10'!O61</f>
        <v>Ne</v>
      </c>
    </row>
    <row r="908" spans="1:3" x14ac:dyDescent="0.3">
      <c r="A908" s="2" t="s">
        <v>760</v>
      </c>
      <c r="B908" s="681" t="str">
        <f t="shared" si="20"/>
        <v>TRAK-P.2</v>
      </c>
      <c r="C908" s="687" t="str">
        <f>'10'!O62</f>
        <v>Ne</v>
      </c>
    </row>
    <row r="909" spans="1:3" x14ac:dyDescent="0.3">
      <c r="A909" s="2" t="s">
        <v>761</v>
      </c>
      <c r="B909" s="681" t="str">
        <f t="shared" si="20"/>
        <v>TRAK-P.3</v>
      </c>
      <c r="C909" s="687" t="str">
        <f>'10'!O63</f>
        <v>Ne</v>
      </c>
    </row>
    <row r="910" spans="1:3" x14ac:dyDescent="0.3">
      <c r="A910" s="2" t="s">
        <v>762</v>
      </c>
      <c r="B910" s="681" t="str">
        <f t="shared" si="20"/>
        <v>TRAK-P.4</v>
      </c>
      <c r="C910" s="687" t="str">
        <f>'10'!O64</f>
        <v>Ne</v>
      </c>
    </row>
    <row r="911" spans="1:3" x14ac:dyDescent="0.3">
      <c r="A911" s="2" t="s">
        <v>763</v>
      </c>
      <c r="B911" s="681" t="str">
        <f t="shared" si="20"/>
        <v>TRAK-P.5</v>
      </c>
      <c r="C911" s="687" t="str">
        <f>'10'!O65</f>
        <v>Ne</v>
      </c>
    </row>
    <row r="912" spans="1:3" x14ac:dyDescent="0.3">
      <c r="A912" s="2" t="s">
        <v>764</v>
      </c>
      <c r="B912" s="681" t="str">
        <f t="shared" si="20"/>
        <v>TRAK-P.6</v>
      </c>
      <c r="C912" s="687" t="str">
        <f>'10'!O66</f>
        <v>Ne</v>
      </c>
    </row>
    <row r="913" spans="1:3" x14ac:dyDescent="0.3">
      <c r="A913" s="2" t="s">
        <v>765</v>
      </c>
      <c r="B913" s="681" t="str">
        <f t="shared" si="20"/>
        <v>TRAK-P.7</v>
      </c>
      <c r="C913" s="687" t="str">
        <f>'10'!O67</f>
        <v>Ne</v>
      </c>
    </row>
    <row r="914" spans="1:3" x14ac:dyDescent="0.3">
      <c r="A914" s="2" t="s">
        <v>766</v>
      </c>
      <c r="B914" s="681" t="str">
        <f t="shared" si="20"/>
        <v>TRAK-P.8</v>
      </c>
      <c r="C914" s="687" t="str">
        <f>'10'!O68</f>
        <v>Ne</v>
      </c>
    </row>
    <row r="915" spans="1:3" x14ac:dyDescent="0.3">
      <c r="A915" s="2" t="s">
        <v>767</v>
      </c>
      <c r="B915" s="681" t="str">
        <f t="shared" si="20"/>
        <v>TRAK-P.9</v>
      </c>
      <c r="C915" s="687" t="str">
        <f>'10'!O69</f>
        <v>Ne</v>
      </c>
    </row>
    <row r="916" spans="1:3" x14ac:dyDescent="0.3">
      <c r="A916" s="2" t="s">
        <v>768</v>
      </c>
      <c r="B916" s="683" t="str">
        <f t="shared" si="20"/>
        <v>TRAK-P.10</v>
      </c>
      <c r="C916" s="689" t="str">
        <f>'10'!O70</f>
        <v>Ne</v>
      </c>
    </row>
    <row r="917" spans="1:3" x14ac:dyDescent="0.3">
      <c r="A917" s="2" t="s">
        <v>769</v>
      </c>
      <c r="B917" s="675" t="str">
        <f t="shared" si="20"/>
        <v>F dalis. Pagal priemonę remiamų projektų pobūdis:</v>
      </c>
      <c r="C917" s="676"/>
    </row>
    <row r="918" spans="1:3" x14ac:dyDescent="0.3">
      <c r="A918" s="2" t="s">
        <v>770</v>
      </c>
      <c r="B918" s="671" t="str">
        <f t="shared" ref="B918:B927" si="21">B841</f>
        <v>Remiami pelno projektai</v>
      </c>
      <c r="C918" s="672" t="str">
        <f>'10'!O72</f>
        <v>Ne</v>
      </c>
    </row>
    <row r="919" spans="1:3" ht="57.6" x14ac:dyDescent="0.3">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57.6" x14ac:dyDescent="0.3">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3.2" x14ac:dyDescent="0.3">
      <c r="A921" s="2" t="s">
        <v>773</v>
      </c>
      <c r="B921" s="673" t="str">
        <f t="shared" si="21"/>
        <v>Remiami projektai, susiję su atsinaujinančios energijos gamybos pajėgumais, įskaitant biologinę (aktualu rodikliui L803)</v>
      </c>
      <c r="C921" s="672" t="str">
        <f>'10'!O75</f>
        <v>Ne</v>
      </c>
    </row>
    <row r="922" spans="1:3" ht="43.2" x14ac:dyDescent="0.3">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28.8" x14ac:dyDescent="0.3">
      <c r="A923" s="2" t="s">
        <v>775</v>
      </c>
      <c r="B923" s="673" t="str">
        <f t="shared" si="21"/>
        <v>Remiami projektai, kurie kuria darbo vietas (aktualu rodikliui L805)</v>
      </c>
      <c r="C923" s="672" t="str">
        <f>'10'!O77</f>
        <v>Ne</v>
      </c>
    </row>
    <row r="924" spans="1:3" ht="28.8" x14ac:dyDescent="0.3">
      <c r="A924" s="2" t="s">
        <v>776</v>
      </c>
      <c r="B924" s="673" t="str">
        <f t="shared" si="21"/>
        <v>Remiami kaimo verslų, įskaitant bioekonomiką, projektai (aktualu rodikliui L 806)</v>
      </c>
      <c r="C924" s="672" t="str">
        <f>'10'!O78</f>
        <v>Ne</v>
      </c>
    </row>
    <row r="925" spans="1:3" ht="28.8" x14ac:dyDescent="0.3">
      <c r="A925" s="2" t="s">
        <v>777</v>
      </c>
      <c r="B925" s="673" t="str">
        <f t="shared" si="21"/>
        <v>Remiami projektai, susiję su sumanių kaimų strategijomis (aktualu rodikliui L807)</v>
      </c>
      <c r="C925" s="672" t="str">
        <f>'10'!O79</f>
        <v>Ne</v>
      </c>
    </row>
    <row r="926" spans="1:3" ht="28.8" x14ac:dyDescent="0.3">
      <c r="A926" s="2" t="s">
        <v>778</v>
      </c>
      <c r="B926" s="673" t="str">
        <f t="shared" si="21"/>
        <v>Remiami projektai, gerinantys paslaugų prieinamumą ir infrastruktūrą (aktualu rodikliui L808)</v>
      </c>
      <c r="C926" s="672" t="str">
        <f>'10'!O80</f>
        <v>Ne</v>
      </c>
    </row>
    <row r="927" spans="1:3" ht="28.8" x14ac:dyDescent="0.3">
      <c r="A927" s="2" t="s">
        <v>779</v>
      </c>
      <c r="B927" s="673" t="str">
        <f t="shared" si="21"/>
        <v>Remiami socialinės įtraukties projektai (aktualu rodikliui L809)</v>
      </c>
      <c r="C927" s="672" t="str">
        <f>'10'!O81</f>
        <v>Ne</v>
      </c>
    </row>
    <row r="928" spans="1:3" x14ac:dyDescent="0.3">
      <c r="B928" s="649"/>
      <c r="C928" s="685"/>
    </row>
    <row r="929" spans="1:3" x14ac:dyDescent="0.3">
      <c r="A929" s="1"/>
      <c r="B929" s="362"/>
      <c r="C929" s="686" t="str">
        <f>'10'!P6</f>
        <v>13 priemonė</v>
      </c>
    </row>
    <row r="930" spans="1:3" x14ac:dyDescent="0.3">
      <c r="A930" s="2" t="s">
        <v>188</v>
      </c>
      <c r="B930" s="509" t="str">
        <f>B853</f>
        <v>Priemonės pavadinimas</v>
      </c>
      <c r="C930" s="670">
        <f>'10'!P7</f>
        <v>0</v>
      </c>
    </row>
    <row r="931" spans="1:3" x14ac:dyDescent="0.3">
      <c r="A931" s="2" t="s">
        <v>189</v>
      </c>
      <c r="B931" s="671" t="str">
        <f t="shared" ref="B931:B994" si="22">B854</f>
        <v>Priemonės rūšis</v>
      </c>
      <c r="C931" s="670">
        <f>'10'!P8</f>
        <v>0</v>
      </c>
    </row>
    <row r="932" spans="1:3" x14ac:dyDescent="0.3">
      <c r="A932" s="2" t="s">
        <v>190</v>
      </c>
      <c r="B932" s="671" t="str">
        <f t="shared" si="22"/>
        <v>VVG teritorijos poreikių, kuriuos tenkina priemonė, skaičius</v>
      </c>
      <c r="C932" s="670">
        <f>'10'!P9</f>
        <v>0</v>
      </c>
    </row>
    <row r="933" spans="1:3" x14ac:dyDescent="0.3">
      <c r="A933" s="2" t="s">
        <v>191</v>
      </c>
      <c r="B933" s="671" t="str">
        <f t="shared" si="22"/>
        <v>BŽŪP tikslų, kuriuos įgyvendina priemonė, skaičius</v>
      </c>
      <c r="C933" s="670">
        <f>'10'!P10</f>
        <v>0</v>
      </c>
    </row>
    <row r="934" spans="1:3" x14ac:dyDescent="0.3">
      <c r="A934" s="2" t="s">
        <v>192</v>
      </c>
      <c r="B934" s="671" t="str">
        <f t="shared" si="22"/>
        <v>Pagrindinis BŽŪP tikslas, kurį įgyvendina VPS priemonė</v>
      </c>
      <c r="C934" s="672" t="str">
        <f>'10'!P11</f>
        <v>Pasirinkite</v>
      </c>
    </row>
    <row r="935" spans="1:3" ht="28.8" x14ac:dyDescent="0.3">
      <c r="A935" s="2" t="s">
        <v>193</v>
      </c>
      <c r="B935" s="673" t="str">
        <f t="shared" si="22"/>
        <v>Ar priemonė prisideda prie 4 konkretaus BŽŪP tikslo? (tikslas nurodytas 5 lape)</v>
      </c>
      <c r="C935" s="672" t="str">
        <f>'10'!P12</f>
        <v>Ne</v>
      </c>
    </row>
    <row r="936" spans="1:3" ht="28.8" x14ac:dyDescent="0.3">
      <c r="A936" s="2" t="s">
        <v>194</v>
      </c>
      <c r="B936" s="673" t="str">
        <f t="shared" si="22"/>
        <v>Ar priemonė prisideda prie 5 konkretaus BŽŪP tikslo? (tikslas nurodytas 5 lape)</v>
      </c>
      <c r="C936" s="672" t="str">
        <f>'10'!P13</f>
        <v>Ne</v>
      </c>
    </row>
    <row r="937" spans="1:3" ht="28.8" x14ac:dyDescent="0.3">
      <c r="A937" s="2" t="s">
        <v>195</v>
      </c>
      <c r="B937" s="673" t="str">
        <f t="shared" si="22"/>
        <v>Ar priemonė prisideda prie 6 konkretaus BŽŪP tikslo? (tikslas nurodytas 5 lape)</v>
      </c>
      <c r="C937" s="672" t="str">
        <f>'10'!P14</f>
        <v>Ne</v>
      </c>
    </row>
    <row r="938" spans="1:3" ht="28.8" x14ac:dyDescent="0.3">
      <c r="A938" s="2" t="s">
        <v>196</v>
      </c>
      <c r="B938" s="673" t="str">
        <f t="shared" si="22"/>
        <v>Ar priemonė prisideda prie 9 konkretaus BŽŪP tikslo? (tikslas nurodytas 5 lape)</v>
      </c>
      <c r="C938" s="672" t="str">
        <f>'10'!P15</f>
        <v>Ne</v>
      </c>
    </row>
    <row r="939" spans="1:3" x14ac:dyDescent="0.3">
      <c r="A939" s="2" t="s">
        <v>94</v>
      </c>
      <c r="B939" s="675" t="str">
        <f t="shared" si="22"/>
        <v>A dalis. Priemonės intervencijos logika:</v>
      </c>
      <c r="C939" s="676"/>
    </row>
    <row r="940" spans="1:3" ht="43.2" x14ac:dyDescent="0.3">
      <c r="A940" s="2" t="s">
        <v>197</v>
      </c>
      <c r="B940" s="673" t="str">
        <f t="shared" si="22"/>
        <v>Priemonės tikslas, ryšys su pagrindiniu BŽŪP tikslu ir VVG teritorijos poreikiais (problemomis ir (arba) potencialu), ryšys su VPS tema (jei taikoma)</v>
      </c>
      <c r="C940" s="677">
        <f>'10'!P17</f>
        <v>0</v>
      </c>
    </row>
    <row r="941" spans="1:3" x14ac:dyDescent="0.3">
      <c r="A941" s="2" t="s">
        <v>198</v>
      </c>
      <c r="B941" s="671" t="str">
        <f t="shared" si="22"/>
        <v>Pokytis, kurio siekiama VPS priemone</v>
      </c>
      <c r="C941" s="677">
        <f>'10'!P18</f>
        <v>0</v>
      </c>
    </row>
    <row r="942" spans="1:3" ht="28.8" x14ac:dyDescent="0.3">
      <c r="A942" s="2" t="s">
        <v>199</v>
      </c>
      <c r="B942" s="509" t="str">
        <f t="shared" si="22"/>
        <v>Kaip priemonė prisidės prie horizontalaus tikslo d įgyvendinimo? (pildoma, jei taikoma)</v>
      </c>
      <c r="C942" s="677">
        <f>'10'!P19</f>
        <v>0</v>
      </c>
    </row>
    <row r="943" spans="1:3" ht="28.8" x14ac:dyDescent="0.3">
      <c r="A943" s="2" t="s">
        <v>200</v>
      </c>
      <c r="B943" s="509" t="str">
        <f t="shared" si="22"/>
        <v>Kaip priemonė prisidės prie horizontalaus tikslo e įgyvendinimo? (pildoma, jei taikoma)</v>
      </c>
      <c r="C943" s="677">
        <f>'10'!P20</f>
        <v>0</v>
      </c>
    </row>
    <row r="944" spans="1:3" ht="28.8" x14ac:dyDescent="0.3">
      <c r="A944" s="2" t="s">
        <v>201</v>
      </c>
      <c r="B944" s="509" t="str">
        <f t="shared" si="22"/>
        <v>Kaip priemonė prisidės prie horizontalaus tikslo f įgyvendinimo? (pildoma, jei taikoma)</v>
      </c>
      <c r="C944" s="677">
        <f>'10'!P21</f>
        <v>0</v>
      </c>
    </row>
    <row r="945" spans="1:3" ht="28.8" x14ac:dyDescent="0.3">
      <c r="A945" s="2" t="s">
        <v>202</v>
      </c>
      <c r="B945" s="509" t="str">
        <f t="shared" si="22"/>
        <v>Kaip priemonė prisidės prie horizontalaus tikslo i įgyvendinimo? (pildoma, jei taikoma)</v>
      </c>
      <c r="C945" s="677">
        <f>'10'!P22</f>
        <v>0</v>
      </c>
    </row>
    <row r="946" spans="1:3" ht="28.8" x14ac:dyDescent="0.3">
      <c r="A946" s="2" t="s">
        <v>203</v>
      </c>
      <c r="B946" s="675" t="str">
        <f t="shared" si="22"/>
        <v>B dalis. Pareiškėjų ir projektų tinkamumo sąlygos, projektų atrankos principai:</v>
      </c>
      <c r="C946" s="676"/>
    </row>
    <row r="947" spans="1:3" x14ac:dyDescent="0.3">
      <c r="A947" s="2" t="s">
        <v>204</v>
      </c>
      <c r="B947" s="509" t="str">
        <f t="shared" si="22"/>
        <v>Pagal priemonę remiamos veiklos</v>
      </c>
      <c r="C947" s="677">
        <f>'10'!P24</f>
        <v>0</v>
      </c>
    </row>
    <row r="948" spans="1:3" ht="28.8" x14ac:dyDescent="0.3">
      <c r="A948" s="2" t="s">
        <v>205</v>
      </c>
      <c r="B948" s="671" t="str">
        <f t="shared" si="22"/>
        <v>Tinkami pareiškėjai ir partneriai (jei taikomas reikalavimas projektus įgyvendinti su partneriais)</v>
      </c>
      <c r="C948" s="677">
        <f>'10'!P25</f>
        <v>0</v>
      </c>
    </row>
    <row r="949" spans="1:3" ht="28.8" x14ac:dyDescent="0.3">
      <c r="A949" s="2" t="s">
        <v>206</v>
      </c>
      <c r="B949" s="671" t="str">
        <f t="shared" si="22"/>
        <v>Priemonės tikslinė grupė (pildoma, jei nesutampa su tinkamais pareiškėjais ir (arba) partneriais)</v>
      </c>
      <c r="C949" s="677">
        <f>'10'!P26</f>
        <v>0</v>
      </c>
    </row>
    <row r="950" spans="1:3" x14ac:dyDescent="0.3">
      <c r="A950" s="2" t="s">
        <v>725</v>
      </c>
      <c r="B950" s="509" t="str">
        <f t="shared" si="22"/>
        <v>Tinkamumo sąlygos pareiškėjams ir projektams</v>
      </c>
      <c r="C950" s="677">
        <f>'10'!P27</f>
        <v>0</v>
      </c>
    </row>
    <row r="951" spans="1:3" x14ac:dyDescent="0.3">
      <c r="A951" s="2" t="s">
        <v>726</v>
      </c>
      <c r="B951" s="673" t="str">
        <f t="shared" si="22"/>
        <v>Projektų atrankos principai</v>
      </c>
      <c r="C951" s="677">
        <f>'10'!P28</f>
        <v>0</v>
      </c>
    </row>
    <row r="952" spans="1:3" x14ac:dyDescent="0.3">
      <c r="A952" s="2" t="s">
        <v>727</v>
      </c>
      <c r="B952" s="509" t="str">
        <f t="shared" si="22"/>
        <v>Planuojamų kvietimų teikti paraiškas skaičius</v>
      </c>
      <c r="C952" s="670">
        <f>'10'!P29</f>
        <v>0</v>
      </c>
    </row>
    <row r="953" spans="1:3" x14ac:dyDescent="0.3">
      <c r="A953" s="2" t="s">
        <v>728</v>
      </c>
      <c r="B953" s="651" t="str">
        <f t="shared" si="22"/>
        <v>C dalis. Paramos dydžiai:</v>
      </c>
      <c r="C953" s="676"/>
    </row>
    <row r="954" spans="1:3" x14ac:dyDescent="0.3">
      <c r="A954" s="2" t="s">
        <v>729</v>
      </c>
      <c r="B954" s="509" t="str">
        <f t="shared" si="22"/>
        <v>Didžiausia paramos suma vietos projektui, Eur</v>
      </c>
      <c r="C954" s="677">
        <f>'10'!P31</f>
        <v>0</v>
      </c>
    </row>
    <row r="955" spans="1:3" x14ac:dyDescent="0.3">
      <c r="A955" s="2" t="s">
        <v>730</v>
      </c>
      <c r="B955" s="509" t="str">
        <f t="shared" si="22"/>
        <v xml:space="preserve">Paramos lyginamoji dalis, proc. </v>
      </c>
      <c r="C955" s="677">
        <f>'10'!P32</f>
        <v>0</v>
      </c>
    </row>
    <row r="956" spans="1:3" x14ac:dyDescent="0.3">
      <c r="A956" s="2" t="s">
        <v>731</v>
      </c>
      <c r="B956" s="509" t="str">
        <f t="shared" si="22"/>
        <v>Planuojama paramos suma priemonei, Eur</v>
      </c>
      <c r="C956" s="678">
        <f>'10'!P33</f>
        <v>0</v>
      </c>
    </row>
    <row r="957" spans="1:3" x14ac:dyDescent="0.3">
      <c r="A957" s="2" t="s">
        <v>732</v>
      </c>
      <c r="B957" s="509" t="str">
        <f t="shared" si="22"/>
        <v>Planuojama paremti projektų (rodiklis L700)</v>
      </c>
      <c r="C957" s="679">
        <f>'10'!P34</f>
        <v>0</v>
      </c>
    </row>
    <row r="958" spans="1:3" x14ac:dyDescent="0.3">
      <c r="A958" s="2" t="s">
        <v>733</v>
      </c>
      <c r="B958" s="509" t="str">
        <f t="shared" si="22"/>
        <v>Paaiškinimas, kaip nustatyta rodiklio L700 reikšmė</v>
      </c>
      <c r="C958" s="677">
        <f>'10'!P35</f>
        <v>0</v>
      </c>
    </row>
    <row r="959" spans="1:3" ht="28.8" x14ac:dyDescent="0.3">
      <c r="A959" s="2" t="s">
        <v>734</v>
      </c>
      <c r="B959" s="651" t="str">
        <f t="shared" si="22"/>
        <v>D dalis. Priemonės indėlis į ES ir nacionalinių horizontaliųjų principų įgyvendinimą:</v>
      </c>
      <c r="C959" s="676"/>
    </row>
    <row r="960" spans="1:3" x14ac:dyDescent="0.3">
      <c r="A960" s="2" t="s">
        <v>735</v>
      </c>
      <c r="B960" s="680" t="str">
        <f t="shared" si="22"/>
        <v>Subregioninės vietovės principas:</v>
      </c>
      <c r="C960" s="676"/>
    </row>
    <row r="961" spans="1:3" ht="28.8" x14ac:dyDescent="0.3">
      <c r="A961" s="2" t="s">
        <v>736</v>
      </c>
      <c r="B961" s="509" t="str">
        <f t="shared" si="22"/>
        <v>Ar siekiama, kad pagal priemonę finansuojami projektai apimtų visas VVG teritorijos seniūnijas?</v>
      </c>
      <c r="C961" s="672" t="str">
        <f>'10'!P38</f>
        <v>Ne</v>
      </c>
    </row>
    <row r="962" spans="1:3" x14ac:dyDescent="0.3">
      <c r="A962" s="2" t="s">
        <v>737</v>
      </c>
      <c r="B962" s="509" t="str">
        <f t="shared" si="22"/>
        <v>Pasirinkimo pagrindimas</v>
      </c>
      <c r="C962" s="677">
        <f>'10'!P39</f>
        <v>0</v>
      </c>
    </row>
    <row r="963" spans="1:3" x14ac:dyDescent="0.3">
      <c r="A963" s="2" t="s">
        <v>738</v>
      </c>
      <c r="B963" s="680" t="str">
        <f t="shared" si="22"/>
        <v>Partnerystės principas:</v>
      </c>
      <c r="C963" s="676"/>
    </row>
    <row r="964" spans="1:3" ht="28.8" x14ac:dyDescent="0.3">
      <c r="A964" s="2" t="s">
        <v>739</v>
      </c>
      <c r="B964" s="509" t="str">
        <f t="shared" si="22"/>
        <v>Ar siekiama, kad pagal priemonę finansuojami projektai būtų vykdomi su partneriais?</v>
      </c>
      <c r="C964" s="672" t="str">
        <f>'10'!P41</f>
        <v>Ne</v>
      </c>
    </row>
    <row r="965" spans="1:3" x14ac:dyDescent="0.3">
      <c r="A965" s="2" t="s">
        <v>740</v>
      </c>
      <c r="B965" s="509" t="str">
        <f t="shared" si="22"/>
        <v>Pasirinkimo pagrindimas</v>
      </c>
      <c r="C965" s="677">
        <f>'10'!P42</f>
        <v>0</v>
      </c>
    </row>
    <row r="966" spans="1:3" x14ac:dyDescent="0.3">
      <c r="A966" s="2" t="s">
        <v>741</v>
      </c>
      <c r="B966" s="680" t="str">
        <f t="shared" si="22"/>
        <v>Inovacijų principas:</v>
      </c>
      <c r="C966" s="676"/>
    </row>
    <row r="967" spans="1:3" ht="28.8" x14ac:dyDescent="0.3">
      <c r="A967" s="2" t="s">
        <v>742</v>
      </c>
      <c r="B967" s="509" t="str">
        <f t="shared" si="22"/>
        <v>Ar siekiama, kad pagal priemonę finansuojami projektai būtų skirti inovacijoms vietos lygiu diegti?</v>
      </c>
      <c r="C967" s="672" t="str">
        <f>'10'!P44</f>
        <v>Ne</v>
      </c>
    </row>
    <row r="968" spans="1:3" x14ac:dyDescent="0.3">
      <c r="A968" s="2" t="s">
        <v>743</v>
      </c>
      <c r="B968" s="509" t="str">
        <f t="shared" si="22"/>
        <v>Pasirinkimo pagrindimas</v>
      </c>
      <c r="C968" s="677">
        <f>'10'!P45</f>
        <v>0</v>
      </c>
    </row>
    <row r="969" spans="1:3" ht="28.8" x14ac:dyDescent="0.3">
      <c r="A969" s="2" t="s">
        <v>744</v>
      </c>
      <c r="B969" s="509" t="str">
        <f t="shared" si="22"/>
        <v>Planuojama paremti projektų, skirtų inovacijoms vietos lygiu diegti (rodiklis L710)</v>
      </c>
      <c r="C969" s="679">
        <f>'10'!P46</f>
        <v>0</v>
      </c>
    </row>
    <row r="970" spans="1:3" x14ac:dyDescent="0.3">
      <c r="A970" s="2" t="s">
        <v>745</v>
      </c>
      <c r="B970" s="680" t="str">
        <f t="shared" si="22"/>
        <v>Lyčių lygybė ir nediskriminavimas:</v>
      </c>
      <c r="C970" s="676"/>
    </row>
    <row r="971" spans="1:3" ht="28.8" x14ac:dyDescent="0.3">
      <c r="A971" s="2" t="s">
        <v>746</v>
      </c>
      <c r="B971" s="509" t="str">
        <f t="shared" si="22"/>
        <v>Ar pagal priemonę finansuojami projektai, skirti lyčių lygybei ir nediskriminavimui?</v>
      </c>
      <c r="C971" s="672" t="str">
        <f>'10'!P48</f>
        <v>Ne</v>
      </c>
    </row>
    <row r="972" spans="1:3" x14ac:dyDescent="0.3">
      <c r="A972" s="2" t="s">
        <v>747</v>
      </c>
      <c r="B972" s="509" t="str">
        <f t="shared" si="22"/>
        <v>Pasirinkimo pagrindimas (jei taip, kaip bus užtikrinta)</v>
      </c>
      <c r="C972" s="677">
        <f>'10'!P49</f>
        <v>0</v>
      </c>
    </row>
    <row r="973" spans="1:3" x14ac:dyDescent="0.3">
      <c r="A973" s="2" t="s">
        <v>748</v>
      </c>
      <c r="B973" s="680" t="str">
        <f t="shared" si="22"/>
        <v>Jaunimas:</v>
      </c>
      <c r="C973" s="676"/>
    </row>
    <row r="974" spans="1:3" x14ac:dyDescent="0.3">
      <c r="A974" s="2" t="s">
        <v>749</v>
      </c>
      <c r="B974" s="509" t="str">
        <f t="shared" si="22"/>
        <v>Ar pagal priemonę finansuojami projektai, skirti jaunimui?</v>
      </c>
      <c r="C974" s="672" t="str">
        <f>'10'!P51</f>
        <v>Ne</v>
      </c>
    </row>
    <row r="975" spans="1:3" x14ac:dyDescent="0.3">
      <c r="A975" s="2" t="s">
        <v>750</v>
      </c>
      <c r="B975" s="509" t="str">
        <f t="shared" si="22"/>
        <v>Pasirinkimo pagrindimas (jei taip, kaip bus užtikrinta)</v>
      </c>
      <c r="C975" s="677">
        <f>'10'!P52</f>
        <v>0</v>
      </c>
    </row>
    <row r="976" spans="1:3" x14ac:dyDescent="0.3">
      <c r="A976" s="2" t="s">
        <v>751</v>
      </c>
      <c r="B976" s="675" t="str">
        <f t="shared" si="22"/>
        <v>E dalis. Priemonės rezultato rodikliai:</v>
      </c>
      <c r="C976" s="676"/>
    </row>
    <row r="977" spans="1:3" x14ac:dyDescent="0.3">
      <c r="A977" s="2" t="s">
        <v>752</v>
      </c>
      <c r="B977" s="680" t="str">
        <f t="shared" si="22"/>
        <v>SP rezultato rodiklių taikymas priemonei:</v>
      </c>
      <c r="C977" s="676"/>
    </row>
    <row r="978" spans="1:3" x14ac:dyDescent="0.3">
      <c r="A978" s="2" t="s">
        <v>753</v>
      </c>
      <c r="B978" s="681" t="str">
        <f t="shared" si="22"/>
        <v>R.3</v>
      </c>
      <c r="C978" s="687" t="str">
        <f>'10'!P55</f>
        <v>Ne</v>
      </c>
    </row>
    <row r="979" spans="1:3" x14ac:dyDescent="0.3">
      <c r="A979" s="2" t="s">
        <v>754</v>
      </c>
      <c r="B979" s="681" t="str">
        <f t="shared" si="22"/>
        <v>R.37</v>
      </c>
      <c r="C979" s="687" t="str">
        <f>'10'!P56</f>
        <v>Ne</v>
      </c>
    </row>
    <row r="980" spans="1:3" x14ac:dyDescent="0.3">
      <c r="A980" s="2" t="s">
        <v>755</v>
      </c>
      <c r="B980" s="681" t="str">
        <f t="shared" si="22"/>
        <v>R.39</v>
      </c>
      <c r="C980" s="687" t="str">
        <f>'10'!P57</f>
        <v>Ne</v>
      </c>
    </row>
    <row r="981" spans="1:3" x14ac:dyDescent="0.3">
      <c r="A981" s="2" t="s">
        <v>756</v>
      </c>
      <c r="B981" s="681" t="str">
        <f t="shared" si="22"/>
        <v>R.41</v>
      </c>
      <c r="C981" s="687" t="str">
        <f>'10'!P58</f>
        <v>Ne</v>
      </c>
    </row>
    <row r="982" spans="1:3" x14ac:dyDescent="0.3">
      <c r="A982" s="2" t="s">
        <v>757</v>
      </c>
      <c r="B982" s="681" t="str">
        <f t="shared" si="22"/>
        <v>R.42</v>
      </c>
      <c r="C982" s="687" t="str">
        <f>'10'!P59</f>
        <v>Ne</v>
      </c>
    </row>
    <row r="983" spans="1:3" x14ac:dyDescent="0.3">
      <c r="A983" s="2" t="s">
        <v>758</v>
      </c>
      <c r="B983" s="680" t="str">
        <f t="shared" si="22"/>
        <v>VPS rodiklių taikymas priemonei:</v>
      </c>
      <c r="C983" s="688"/>
    </row>
    <row r="984" spans="1:3" x14ac:dyDescent="0.3">
      <c r="A984" s="2" t="s">
        <v>759</v>
      </c>
      <c r="B984" s="681" t="str">
        <f t="shared" si="22"/>
        <v>TRAK-P.1</v>
      </c>
      <c r="C984" s="687" t="str">
        <f>'10'!P61</f>
        <v>Ne</v>
      </c>
    </row>
    <row r="985" spans="1:3" x14ac:dyDescent="0.3">
      <c r="A985" s="2" t="s">
        <v>760</v>
      </c>
      <c r="B985" s="681" t="str">
        <f t="shared" si="22"/>
        <v>TRAK-P.2</v>
      </c>
      <c r="C985" s="687" t="str">
        <f>'10'!P62</f>
        <v>Ne</v>
      </c>
    </row>
    <row r="986" spans="1:3" x14ac:dyDescent="0.3">
      <c r="A986" s="2" t="s">
        <v>761</v>
      </c>
      <c r="B986" s="681" t="str">
        <f t="shared" si="22"/>
        <v>TRAK-P.3</v>
      </c>
      <c r="C986" s="687" t="str">
        <f>'10'!P63</f>
        <v>Ne</v>
      </c>
    </row>
    <row r="987" spans="1:3" x14ac:dyDescent="0.3">
      <c r="A987" s="2" t="s">
        <v>762</v>
      </c>
      <c r="B987" s="681" t="str">
        <f t="shared" si="22"/>
        <v>TRAK-P.4</v>
      </c>
      <c r="C987" s="687" t="str">
        <f>'10'!P64</f>
        <v>Ne</v>
      </c>
    </row>
    <row r="988" spans="1:3" x14ac:dyDescent="0.3">
      <c r="A988" s="2" t="s">
        <v>763</v>
      </c>
      <c r="B988" s="681" t="str">
        <f t="shared" si="22"/>
        <v>TRAK-P.5</v>
      </c>
      <c r="C988" s="687" t="str">
        <f>'10'!P65</f>
        <v>Ne</v>
      </c>
    </row>
    <row r="989" spans="1:3" x14ac:dyDescent="0.3">
      <c r="A989" s="2" t="s">
        <v>764</v>
      </c>
      <c r="B989" s="681" t="str">
        <f t="shared" si="22"/>
        <v>TRAK-P.6</v>
      </c>
      <c r="C989" s="687" t="str">
        <f>'10'!P66</f>
        <v>Ne</v>
      </c>
    </row>
    <row r="990" spans="1:3" x14ac:dyDescent="0.3">
      <c r="A990" s="2" t="s">
        <v>765</v>
      </c>
      <c r="B990" s="681" t="str">
        <f t="shared" si="22"/>
        <v>TRAK-P.7</v>
      </c>
      <c r="C990" s="687" t="str">
        <f>'10'!P67</f>
        <v>Ne</v>
      </c>
    </row>
    <row r="991" spans="1:3" x14ac:dyDescent="0.3">
      <c r="A991" s="2" t="s">
        <v>766</v>
      </c>
      <c r="B991" s="681" t="str">
        <f t="shared" si="22"/>
        <v>TRAK-P.8</v>
      </c>
      <c r="C991" s="687" t="str">
        <f>'10'!P68</f>
        <v>Ne</v>
      </c>
    </row>
    <row r="992" spans="1:3" x14ac:dyDescent="0.3">
      <c r="A992" s="2" t="s">
        <v>767</v>
      </c>
      <c r="B992" s="681" t="str">
        <f t="shared" si="22"/>
        <v>TRAK-P.9</v>
      </c>
      <c r="C992" s="687" t="str">
        <f>'10'!P69</f>
        <v>Ne</v>
      </c>
    </row>
    <row r="993" spans="1:3" x14ac:dyDescent="0.3">
      <c r="A993" s="2" t="s">
        <v>768</v>
      </c>
      <c r="B993" s="683" t="str">
        <f t="shared" si="22"/>
        <v>TRAK-P.10</v>
      </c>
      <c r="C993" s="689" t="str">
        <f>'10'!P70</f>
        <v>Ne</v>
      </c>
    </row>
    <row r="994" spans="1:3" x14ac:dyDescent="0.3">
      <c r="A994" s="2" t="s">
        <v>769</v>
      </c>
      <c r="B994" s="675" t="str">
        <f t="shared" si="22"/>
        <v>F dalis. Pagal priemonę remiamų projektų pobūdis:</v>
      </c>
      <c r="C994" s="676"/>
    </row>
    <row r="995" spans="1:3" x14ac:dyDescent="0.3">
      <c r="A995" s="2" t="s">
        <v>770</v>
      </c>
      <c r="B995" s="671" t="str">
        <f t="shared" ref="B995:B1004" si="23">B918</f>
        <v>Remiami pelno projektai</v>
      </c>
      <c r="C995" s="672" t="str">
        <f>'10'!P72</f>
        <v>Ne</v>
      </c>
    </row>
    <row r="996" spans="1:3" ht="57.6" x14ac:dyDescent="0.3">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57.6" x14ac:dyDescent="0.3">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3.2" x14ac:dyDescent="0.3">
      <c r="A998" s="2" t="s">
        <v>773</v>
      </c>
      <c r="B998" s="673" t="str">
        <f t="shared" si="23"/>
        <v>Remiami projektai, susiję su atsinaujinančios energijos gamybos pajėgumais, įskaitant biologinę (aktualu rodikliui L803)</v>
      </c>
      <c r="C998" s="672" t="str">
        <f>'10'!P75</f>
        <v>Ne</v>
      </c>
    </row>
    <row r="999" spans="1:3" ht="43.2" x14ac:dyDescent="0.3">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28.8" x14ac:dyDescent="0.3">
      <c r="A1000" s="2" t="s">
        <v>775</v>
      </c>
      <c r="B1000" s="673" t="str">
        <f t="shared" si="23"/>
        <v>Remiami projektai, kurie kuria darbo vietas (aktualu rodikliui L805)</v>
      </c>
      <c r="C1000" s="672" t="str">
        <f>'10'!P77</f>
        <v>Ne</v>
      </c>
    </row>
    <row r="1001" spans="1:3" ht="28.8" x14ac:dyDescent="0.3">
      <c r="A1001" s="2" t="s">
        <v>776</v>
      </c>
      <c r="B1001" s="673" t="str">
        <f t="shared" si="23"/>
        <v>Remiami kaimo verslų, įskaitant bioekonomiką, projektai (aktualu rodikliui L 806)</v>
      </c>
      <c r="C1001" s="672" t="str">
        <f>'10'!P78</f>
        <v>Ne</v>
      </c>
    </row>
    <row r="1002" spans="1:3" ht="28.8" x14ac:dyDescent="0.3">
      <c r="A1002" s="2" t="s">
        <v>777</v>
      </c>
      <c r="B1002" s="673" t="str">
        <f t="shared" si="23"/>
        <v>Remiami projektai, susiję su sumanių kaimų strategijomis (aktualu rodikliui L807)</v>
      </c>
      <c r="C1002" s="672" t="str">
        <f>'10'!P79</f>
        <v>Ne</v>
      </c>
    </row>
    <row r="1003" spans="1:3" ht="28.8" x14ac:dyDescent="0.3">
      <c r="A1003" s="2" t="s">
        <v>778</v>
      </c>
      <c r="B1003" s="673" t="str">
        <f t="shared" si="23"/>
        <v>Remiami projektai, gerinantys paslaugų prieinamumą ir infrastruktūrą (aktualu rodikliui L808)</v>
      </c>
      <c r="C1003" s="672" t="str">
        <f>'10'!P80</f>
        <v>Ne</v>
      </c>
    </row>
    <row r="1004" spans="1:3" ht="28.8" x14ac:dyDescent="0.3">
      <c r="A1004" s="2" t="s">
        <v>779</v>
      </c>
      <c r="B1004" s="673" t="str">
        <f t="shared" si="23"/>
        <v>Remiami socialinės įtraukties projektai (aktualu rodikliui L809)</v>
      </c>
      <c r="C1004" s="672" t="str">
        <f>'10'!P81</f>
        <v>Ne</v>
      </c>
    </row>
    <row r="1005" spans="1:3" x14ac:dyDescent="0.3">
      <c r="B1005" s="649"/>
      <c r="C1005" s="685"/>
    </row>
    <row r="1006" spans="1:3" x14ac:dyDescent="0.3">
      <c r="A1006" s="1"/>
      <c r="B1006" s="362"/>
      <c r="C1006" s="686" t="str">
        <f>'10'!Q6</f>
        <v>14 priemonė</v>
      </c>
    </row>
    <row r="1007" spans="1:3" x14ac:dyDescent="0.3">
      <c r="A1007" s="2" t="s">
        <v>188</v>
      </c>
      <c r="B1007" s="509" t="str">
        <f>B930</f>
        <v>Priemonės pavadinimas</v>
      </c>
      <c r="C1007" s="670">
        <f>'10'!Q7</f>
        <v>0</v>
      </c>
    </row>
    <row r="1008" spans="1:3" x14ac:dyDescent="0.3">
      <c r="A1008" s="2" t="s">
        <v>189</v>
      </c>
      <c r="B1008" s="671" t="str">
        <f t="shared" ref="B1008:B1071" si="24">B931</f>
        <v>Priemonės rūšis</v>
      </c>
      <c r="C1008" s="670">
        <f>'10'!Q8</f>
        <v>0</v>
      </c>
    </row>
    <row r="1009" spans="1:3" x14ac:dyDescent="0.3">
      <c r="A1009" s="2" t="s">
        <v>190</v>
      </c>
      <c r="B1009" s="671" t="str">
        <f t="shared" si="24"/>
        <v>VVG teritorijos poreikių, kuriuos tenkina priemonė, skaičius</v>
      </c>
      <c r="C1009" s="670">
        <f>'10'!Q9</f>
        <v>0</v>
      </c>
    </row>
    <row r="1010" spans="1:3" x14ac:dyDescent="0.3">
      <c r="A1010" s="2" t="s">
        <v>191</v>
      </c>
      <c r="B1010" s="671" t="str">
        <f t="shared" si="24"/>
        <v>BŽŪP tikslų, kuriuos įgyvendina priemonė, skaičius</v>
      </c>
      <c r="C1010" s="670">
        <f>'10'!Q10</f>
        <v>0</v>
      </c>
    </row>
    <row r="1011" spans="1:3" x14ac:dyDescent="0.3">
      <c r="A1011" s="2" t="s">
        <v>192</v>
      </c>
      <c r="B1011" s="671" t="str">
        <f t="shared" si="24"/>
        <v>Pagrindinis BŽŪP tikslas, kurį įgyvendina VPS priemonė</v>
      </c>
      <c r="C1011" s="672" t="str">
        <f>'10'!Q11</f>
        <v>Pasirinkite</v>
      </c>
    </row>
    <row r="1012" spans="1:3" ht="28.8" x14ac:dyDescent="0.3">
      <c r="A1012" s="2" t="s">
        <v>193</v>
      </c>
      <c r="B1012" s="673" t="str">
        <f t="shared" si="24"/>
        <v>Ar priemonė prisideda prie 4 konkretaus BŽŪP tikslo? (tikslas nurodytas 5 lape)</v>
      </c>
      <c r="C1012" s="672" t="str">
        <f>'10'!Q12</f>
        <v>Ne</v>
      </c>
    </row>
    <row r="1013" spans="1:3" ht="28.8" x14ac:dyDescent="0.3">
      <c r="A1013" s="2" t="s">
        <v>194</v>
      </c>
      <c r="B1013" s="673" t="str">
        <f t="shared" si="24"/>
        <v>Ar priemonė prisideda prie 5 konkretaus BŽŪP tikslo? (tikslas nurodytas 5 lape)</v>
      </c>
      <c r="C1013" s="672" t="str">
        <f>'10'!Q13</f>
        <v>Ne</v>
      </c>
    </row>
    <row r="1014" spans="1:3" ht="28.8" x14ac:dyDescent="0.3">
      <c r="A1014" s="2" t="s">
        <v>195</v>
      </c>
      <c r="B1014" s="673" t="str">
        <f t="shared" si="24"/>
        <v>Ar priemonė prisideda prie 6 konkretaus BŽŪP tikslo? (tikslas nurodytas 5 lape)</v>
      </c>
      <c r="C1014" s="672" t="str">
        <f>'10'!Q14</f>
        <v>Ne</v>
      </c>
    </row>
    <row r="1015" spans="1:3" ht="28.8" x14ac:dyDescent="0.3">
      <c r="A1015" s="2" t="s">
        <v>196</v>
      </c>
      <c r="B1015" s="673" t="str">
        <f t="shared" si="24"/>
        <v>Ar priemonė prisideda prie 9 konkretaus BŽŪP tikslo? (tikslas nurodytas 5 lape)</v>
      </c>
      <c r="C1015" s="672" t="str">
        <f>'10'!Q15</f>
        <v>Ne</v>
      </c>
    </row>
    <row r="1016" spans="1:3" x14ac:dyDescent="0.3">
      <c r="A1016" s="2" t="s">
        <v>94</v>
      </c>
      <c r="B1016" s="675" t="str">
        <f t="shared" si="24"/>
        <v>A dalis. Priemonės intervencijos logika:</v>
      </c>
      <c r="C1016" s="676"/>
    </row>
    <row r="1017" spans="1:3" ht="43.2" x14ac:dyDescent="0.3">
      <c r="A1017" s="2" t="s">
        <v>197</v>
      </c>
      <c r="B1017" s="673" t="str">
        <f t="shared" si="24"/>
        <v>Priemonės tikslas, ryšys su pagrindiniu BŽŪP tikslu ir VVG teritorijos poreikiais (problemomis ir (arba) potencialu), ryšys su VPS tema (jei taikoma)</v>
      </c>
      <c r="C1017" s="677">
        <f>'10'!Q17</f>
        <v>0</v>
      </c>
    </row>
    <row r="1018" spans="1:3" x14ac:dyDescent="0.3">
      <c r="A1018" s="2" t="s">
        <v>198</v>
      </c>
      <c r="B1018" s="671" t="str">
        <f t="shared" si="24"/>
        <v>Pokytis, kurio siekiama VPS priemone</v>
      </c>
      <c r="C1018" s="677">
        <f>'10'!Q18</f>
        <v>0</v>
      </c>
    </row>
    <row r="1019" spans="1:3" ht="28.8" x14ac:dyDescent="0.3">
      <c r="A1019" s="2" t="s">
        <v>199</v>
      </c>
      <c r="B1019" s="509" t="str">
        <f t="shared" si="24"/>
        <v>Kaip priemonė prisidės prie horizontalaus tikslo d įgyvendinimo? (pildoma, jei taikoma)</v>
      </c>
      <c r="C1019" s="677">
        <f>'10'!Q19</f>
        <v>0</v>
      </c>
    </row>
    <row r="1020" spans="1:3" ht="28.8" x14ac:dyDescent="0.3">
      <c r="A1020" s="2" t="s">
        <v>200</v>
      </c>
      <c r="B1020" s="509" t="str">
        <f t="shared" si="24"/>
        <v>Kaip priemonė prisidės prie horizontalaus tikslo e įgyvendinimo? (pildoma, jei taikoma)</v>
      </c>
      <c r="C1020" s="677">
        <f>'10'!Q20</f>
        <v>0</v>
      </c>
    </row>
    <row r="1021" spans="1:3" ht="28.8" x14ac:dyDescent="0.3">
      <c r="A1021" s="2" t="s">
        <v>201</v>
      </c>
      <c r="B1021" s="509" t="str">
        <f t="shared" si="24"/>
        <v>Kaip priemonė prisidės prie horizontalaus tikslo f įgyvendinimo? (pildoma, jei taikoma)</v>
      </c>
      <c r="C1021" s="677">
        <f>'10'!Q21</f>
        <v>0</v>
      </c>
    </row>
    <row r="1022" spans="1:3" ht="28.8" x14ac:dyDescent="0.3">
      <c r="A1022" s="2" t="s">
        <v>202</v>
      </c>
      <c r="B1022" s="509" t="str">
        <f t="shared" si="24"/>
        <v>Kaip priemonė prisidės prie horizontalaus tikslo i įgyvendinimo? (pildoma, jei taikoma)</v>
      </c>
      <c r="C1022" s="677">
        <f>'10'!Q22</f>
        <v>0</v>
      </c>
    </row>
    <row r="1023" spans="1:3" ht="28.8" x14ac:dyDescent="0.3">
      <c r="A1023" s="2" t="s">
        <v>203</v>
      </c>
      <c r="B1023" s="675" t="str">
        <f t="shared" si="24"/>
        <v>B dalis. Pareiškėjų ir projektų tinkamumo sąlygos, projektų atrankos principai:</v>
      </c>
      <c r="C1023" s="676"/>
    </row>
    <row r="1024" spans="1:3" x14ac:dyDescent="0.3">
      <c r="A1024" s="2" t="s">
        <v>204</v>
      </c>
      <c r="B1024" s="509" t="str">
        <f t="shared" si="24"/>
        <v>Pagal priemonę remiamos veiklos</v>
      </c>
      <c r="C1024" s="677">
        <f>'10'!Q24</f>
        <v>0</v>
      </c>
    </row>
    <row r="1025" spans="1:3" ht="28.8" x14ac:dyDescent="0.3">
      <c r="A1025" s="2" t="s">
        <v>205</v>
      </c>
      <c r="B1025" s="671" t="str">
        <f t="shared" si="24"/>
        <v>Tinkami pareiškėjai ir partneriai (jei taikomas reikalavimas projektus įgyvendinti su partneriais)</v>
      </c>
      <c r="C1025" s="677">
        <f>'10'!Q25</f>
        <v>0</v>
      </c>
    </row>
    <row r="1026" spans="1:3" ht="28.8" x14ac:dyDescent="0.3">
      <c r="A1026" s="2" t="s">
        <v>206</v>
      </c>
      <c r="B1026" s="671" t="str">
        <f t="shared" si="24"/>
        <v>Priemonės tikslinė grupė (pildoma, jei nesutampa su tinkamais pareiškėjais ir (arba) partneriais)</v>
      </c>
      <c r="C1026" s="677">
        <f>'10'!Q26</f>
        <v>0</v>
      </c>
    </row>
    <row r="1027" spans="1:3" x14ac:dyDescent="0.3">
      <c r="A1027" s="2" t="s">
        <v>725</v>
      </c>
      <c r="B1027" s="509" t="str">
        <f t="shared" si="24"/>
        <v>Tinkamumo sąlygos pareiškėjams ir projektams</v>
      </c>
      <c r="C1027" s="677">
        <f>'10'!Q27</f>
        <v>0</v>
      </c>
    </row>
    <row r="1028" spans="1:3" x14ac:dyDescent="0.3">
      <c r="A1028" s="2" t="s">
        <v>726</v>
      </c>
      <c r="B1028" s="673" t="str">
        <f t="shared" si="24"/>
        <v>Projektų atrankos principai</v>
      </c>
      <c r="C1028" s="677">
        <f>'10'!Q28</f>
        <v>0</v>
      </c>
    </row>
    <row r="1029" spans="1:3" x14ac:dyDescent="0.3">
      <c r="A1029" s="2" t="s">
        <v>727</v>
      </c>
      <c r="B1029" s="509" t="str">
        <f t="shared" si="24"/>
        <v>Planuojamų kvietimų teikti paraiškas skaičius</v>
      </c>
      <c r="C1029" s="670">
        <f>'10'!Q29</f>
        <v>0</v>
      </c>
    </row>
    <row r="1030" spans="1:3" x14ac:dyDescent="0.3">
      <c r="A1030" s="2" t="s">
        <v>728</v>
      </c>
      <c r="B1030" s="651" t="str">
        <f t="shared" si="24"/>
        <v>C dalis. Paramos dydžiai:</v>
      </c>
      <c r="C1030" s="676"/>
    </row>
    <row r="1031" spans="1:3" x14ac:dyDescent="0.3">
      <c r="A1031" s="2" t="s">
        <v>729</v>
      </c>
      <c r="B1031" s="509" t="str">
        <f t="shared" si="24"/>
        <v>Didžiausia paramos suma vietos projektui, Eur</v>
      </c>
      <c r="C1031" s="677">
        <f>'10'!Q31</f>
        <v>0</v>
      </c>
    </row>
    <row r="1032" spans="1:3" x14ac:dyDescent="0.3">
      <c r="A1032" s="2" t="s">
        <v>730</v>
      </c>
      <c r="B1032" s="509" t="str">
        <f t="shared" si="24"/>
        <v xml:space="preserve">Paramos lyginamoji dalis, proc. </v>
      </c>
      <c r="C1032" s="677">
        <f>'10'!Q32</f>
        <v>0</v>
      </c>
    </row>
    <row r="1033" spans="1:3" x14ac:dyDescent="0.3">
      <c r="A1033" s="2" t="s">
        <v>731</v>
      </c>
      <c r="B1033" s="509" t="str">
        <f t="shared" si="24"/>
        <v>Planuojama paramos suma priemonei, Eur</v>
      </c>
      <c r="C1033" s="678">
        <f>'10'!Q33</f>
        <v>0</v>
      </c>
    </row>
    <row r="1034" spans="1:3" x14ac:dyDescent="0.3">
      <c r="A1034" s="2" t="s">
        <v>732</v>
      </c>
      <c r="B1034" s="509" t="str">
        <f t="shared" si="24"/>
        <v>Planuojama paremti projektų (rodiklis L700)</v>
      </c>
      <c r="C1034" s="679">
        <f>'10'!Q34</f>
        <v>0</v>
      </c>
    </row>
    <row r="1035" spans="1:3" x14ac:dyDescent="0.3">
      <c r="A1035" s="2" t="s">
        <v>733</v>
      </c>
      <c r="B1035" s="509" t="str">
        <f t="shared" si="24"/>
        <v>Paaiškinimas, kaip nustatyta rodiklio L700 reikšmė</v>
      </c>
      <c r="C1035" s="677">
        <f>'10'!Q35</f>
        <v>0</v>
      </c>
    </row>
    <row r="1036" spans="1:3" ht="28.8" x14ac:dyDescent="0.3">
      <c r="A1036" s="2" t="s">
        <v>734</v>
      </c>
      <c r="B1036" s="651" t="str">
        <f t="shared" si="24"/>
        <v>D dalis. Priemonės indėlis į ES ir nacionalinių horizontaliųjų principų įgyvendinimą:</v>
      </c>
      <c r="C1036" s="676"/>
    </row>
    <row r="1037" spans="1:3" x14ac:dyDescent="0.3">
      <c r="A1037" s="2" t="s">
        <v>735</v>
      </c>
      <c r="B1037" s="680" t="str">
        <f t="shared" si="24"/>
        <v>Subregioninės vietovės principas:</v>
      </c>
      <c r="C1037" s="676"/>
    </row>
    <row r="1038" spans="1:3" ht="28.8" x14ac:dyDescent="0.3">
      <c r="A1038" s="2" t="s">
        <v>736</v>
      </c>
      <c r="B1038" s="509" t="str">
        <f t="shared" si="24"/>
        <v>Ar siekiama, kad pagal priemonę finansuojami projektai apimtų visas VVG teritorijos seniūnijas?</v>
      </c>
      <c r="C1038" s="672" t="str">
        <f>'10'!Q38</f>
        <v>Ne</v>
      </c>
    </row>
    <row r="1039" spans="1:3" x14ac:dyDescent="0.3">
      <c r="A1039" s="2" t="s">
        <v>737</v>
      </c>
      <c r="B1039" s="509" t="str">
        <f t="shared" si="24"/>
        <v>Pasirinkimo pagrindimas</v>
      </c>
      <c r="C1039" s="677">
        <f>'10'!Q39</f>
        <v>0</v>
      </c>
    </row>
    <row r="1040" spans="1:3" x14ac:dyDescent="0.3">
      <c r="A1040" s="2" t="s">
        <v>738</v>
      </c>
      <c r="B1040" s="680" t="str">
        <f t="shared" si="24"/>
        <v>Partnerystės principas:</v>
      </c>
      <c r="C1040" s="676"/>
    </row>
    <row r="1041" spans="1:3" ht="28.8" x14ac:dyDescent="0.3">
      <c r="A1041" s="2" t="s">
        <v>739</v>
      </c>
      <c r="B1041" s="509" t="str">
        <f t="shared" si="24"/>
        <v>Ar siekiama, kad pagal priemonę finansuojami projektai būtų vykdomi su partneriais?</v>
      </c>
      <c r="C1041" s="672" t="str">
        <f>'10'!Q41</f>
        <v>Ne</v>
      </c>
    </row>
    <row r="1042" spans="1:3" x14ac:dyDescent="0.3">
      <c r="A1042" s="2" t="s">
        <v>740</v>
      </c>
      <c r="B1042" s="509" t="str">
        <f t="shared" si="24"/>
        <v>Pasirinkimo pagrindimas</v>
      </c>
      <c r="C1042" s="677">
        <f>'10'!Q42</f>
        <v>0</v>
      </c>
    </row>
    <row r="1043" spans="1:3" x14ac:dyDescent="0.3">
      <c r="A1043" s="2" t="s">
        <v>741</v>
      </c>
      <c r="B1043" s="680" t="str">
        <f t="shared" si="24"/>
        <v>Inovacijų principas:</v>
      </c>
      <c r="C1043" s="676"/>
    </row>
    <row r="1044" spans="1:3" ht="28.8" x14ac:dyDescent="0.3">
      <c r="A1044" s="2" t="s">
        <v>742</v>
      </c>
      <c r="B1044" s="509" t="str">
        <f t="shared" si="24"/>
        <v>Ar siekiama, kad pagal priemonę finansuojami projektai būtų skirti inovacijoms vietos lygiu diegti?</v>
      </c>
      <c r="C1044" s="672" t="str">
        <f>'10'!Q44</f>
        <v>Ne</v>
      </c>
    </row>
    <row r="1045" spans="1:3" x14ac:dyDescent="0.3">
      <c r="A1045" s="2" t="s">
        <v>743</v>
      </c>
      <c r="B1045" s="509" t="str">
        <f t="shared" si="24"/>
        <v>Pasirinkimo pagrindimas</v>
      </c>
      <c r="C1045" s="677">
        <f>'10'!Q45</f>
        <v>0</v>
      </c>
    </row>
    <row r="1046" spans="1:3" ht="28.8" x14ac:dyDescent="0.3">
      <c r="A1046" s="2" t="s">
        <v>744</v>
      </c>
      <c r="B1046" s="509" t="str">
        <f t="shared" si="24"/>
        <v>Planuojama paremti projektų, skirtų inovacijoms vietos lygiu diegti (rodiklis L710)</v>
      </c>
      <c r="C1046" s="679">
        <f>'10'!Q46</f>
        <v>0</v>
      </c>
    </row>
    <row r="1047" spans="1:3" x14ac:dyDescent="0.3">
      <c r="A1047" s="2" t="s">
        <v>745</v>
      </c>
      <c r="B1047" s="680" t="str">
        <f t="shared" si="24"/>
        <v>Lyčių lygybė ir nediskriminavimas:</v>
      </c>
      <c r="C1047" s="676"/>
    </row>
    <row r="1048" spans="1:3" ht="28.8" x14ac:dyDescent="0.3">
      <c r="A1048" s="2" t="s">
        <v>746</v>
      </c>
      <c r="B1048" s="509" t="str">
        <f t="shared" si="24"/>
        <v>Ar pagal priemonę finansuojami projektai, skirti lyčių lygybei ir nediskriminavimui?</v>
      </c>
      <c r="C1048" s="672" t="str">
        <f>'10'!Q48</f>
        <v>Ne</v>
      </c>
    </row>
    <row r="1049" spans="1:3" x14ac:dyDescent="0.3">
      <c r="A1049" s="2" t="s">
        <v>747</v>
      </c>
      <c r="B1049" s="509" t="str">
        <f t="shared" si="24"/>
        <v>Pasirinkimo pagrindimas (jei taip, kaip bus užtikrinta)</v>
      </c>
      <c r="C1049" s="677">
        <f>'10'!Q49</f>
        <v>0</v>
      </c>
    </row>
    <row r="1050" spans="1:3" x14ac:dyDescent="0.3">
      <c r="A1050" s="2" t="s">
        <v>748</v>
      </c>
      <c r="B1050" s="680" t="str">
        <f t="shared" si="24"/>
        <v>Jaunimas:</v>
      </c>
      <c r="C1050" s="676"/>
    </row>
    <row r="1051" spans="1:3" x14ac:dyDescent="0.3">
      <c r="A1051" s="2" t="s">
        <v>749</v>
      </c>
      <c r="B1051" s="509" t="str">
        <f t="shared" si="24"/>
        <v>Ar pagal priemonę finansuojami projektai, skirti jaunimui?</v>
      </c>
      <c r="C1051" s="672" t="str">
        <f>'10'!Q51</f>
        <v>Ne</v>
      </c>
    </row>
    <row r="1052" spans="1:3" x14ac:dyDescent="0.3">
      <c r="A1052" s="2" t="s">
        <v>750</v>
      </c>
      <c r="B1052" s="509" t="str">
        <f t="shared" si="24"/>
        <v>Pasirinkimo pagrindimas (jei taip, kaip bus užtikrinta)</v>
      </c>
      <c r="C1052" s="677">
        <f>'10'!Q52</f>
        <v>0</v>
      </c>
    </row>
    <row r="1053" spans="1:3" x14ac:dyDescent="0.3">
      <c r="A1053" s="2" t="s">
        <v>751</v>
      </c>
      <c r="B1053" s="675" t="str">
        <f t="shared" si="24"/>
        <v>E dalis. Priemonės rezultato rodikliai:</v>
      </c>
      <c r="C1053" s="676"/>
    </row>
    <row r="1054" spans="1:3" x14ac:dyDescent="0.3">
      <c r="A1054" s="2" t="s">
        <v>752</v>
      </c>
      <c r="B1054" s="680" t="str">
        <f t="shared" si="24"/>
        <v>SP rezultato rodiklių taikymas priemonei:</v>
      </c>
      <c r="C1054" s="676"/>
    </row>
    <row r="1055" spans="1:3" x14ac:dyDescent="0.3">
      <c r="A1055" s="2" t="s">
        <v>753</v>
      </c>
      <c r="B1055" s="681" t="str">
        <f t="shared" si="24"/>
        <v>R.3</v>
      </c>
      <c r="C1055" s="687" t="str">
        <f>'10'!Q55</f>
        <v>Ne</v>
      </c>
    </row>
    <row r="1056" spans="1:3" x14ac:dyDescent="0.3">
      <c r="A1056" s="2" t="s">
        <v>754</v>
      </c>
      <c r="B1056" s="681" t="str">
        <f t="shared" si="24"/>
        <v>R.37</v>
      </c>
      <c r="C1056" s="687" t="str">
        <f>'10'!Q56</f>
        <v>Ne</v>
      </c>
    </row>
    <row r="1057" spans="1:3" x14ac:dyDescent="0.3">
      <c r="A1057" s="2" t="s">
        <v>755</v>
      </c>
      <c r="B1057" s="681" t="str">
        <f t="shared" si="24"/>
        <v>R.39</v>
      </c>
      <c r="C1057" s="687" t="str">
        <f>'10'!Q57</f>
        <v>Ne</v>
      </c>
    </row>
    <row r="1058" spans="1:3" x14ac:dyDescent="0.3">
      <c r="A1058" s="2" t="s">
        <v>756</v>
      </c>
      <c r="B1058" s="681" t="str">
        <f t="shared" si="24"/>
        <v>R.41</v>
      </c>
      <c r="C1058" s="687" t="str">
        <f>'10'!Q58</f>
        <v>Ne</v>
      </c>
    </row>
    <row r="1059" spans="1:3" x14ac:dyDescent="0.3">
      <c r="A1059" s="2" t="s">
        <v>757</v>
      </c>
      <c r="B1059" s="681" t="str">
        <f t="shared" si="24"/>
        <v>R.42</v>
      </c>
      <c r="C1059" s="687" t="str">
        <f>'10'!Q59</f>
        <v>Ne</v>
      </c>
    </row>
    <row r="1060" spans="1:3" x14ac:dyDescent="0.3">
      <c r="A1060" s="2" t="s">
        <v>758</v>
      </c>
      <c r="B1060" s="680" t="str">
        <f t="shared" si="24"/>
        <v>VPS rodiklių taikymas priemonei:</v>
      </c>
      <c r="C1060" s="688"/>
    </row>
    <row r="1061" spans="1:3" x14ac:dyDescent="0.3">
      <c r="A1061" s="2" t="s">
        <v>759</v>
      </c>
      <c r="B1061" s="681" t="str">
        <f t="shared" si="24"/>
        <v>TRAK-P.1</v>
      </c>
      <c r="C1061" s="687" t="str">
        <f>'10'!Q61</f>
        <v>Ne</v>
      </c>
    </row>
    <row r="1062" spans="1:3" x14ac:dyDescent="0.3">
      <c r="A1062" s="2" t="s">
        <v>760</v>
      </c>
      <c r="B1062" s="681" t="str">
        <f t="shared" si="24"/>
        <v>TRAK-P.2</v>
      </c>
      <c r="C1062" s="687" t="str">
        <f>'10'!Q62</f>
        <v>Ne</v>
      </c>
    </row>
    <row r="1063" spans="1:3" x14ac:dyDescent="0.3">
      <c r="A1063" s="2" t="s">
        <v>761</v>
      </c>
      <c r="B1063" s="681" t="str">
        <f t="shared" si="24"/>
        <v>TRAK-P.3</v>
      </c>
      <c r="C1063" s="687" t="str">
        <f>'10'!Q63</f>
        <v>Ne</v>
      </c>
    </row>
    <row r="1064" spans="1:3" x14ac:dyDescent="0.3">
      <c r="A1064" s="2" t="s">
        <v>762</v>
      </c>
      <c r="B1064" s="681" t="str">
        <f t="shared" si="24"/>
        <v>TRAK-P.4</v>
      </c>
      <c r="C1064" s="687" t="str">
        <f>'10'!Q64</f>
        <v>Ne</v>
      </c>
    </row>
    <row r="1065" spans="1:3" x14ac:dyDescent="0.3">
      <c r="A1065" s="2" t="s">
        <v>763</v>
      </c>
      <c r="B1065" s="681" t="str">
        <f t="shared" si="24"/>
        <v>TRAK-P.5</v>
      </c>
      <c r="C1065" s="687" t="str">
        <f>'10'!Q65</f>
        <v>Ne</v>
      </c>
    </row>
    <row r="1066" spans="1:3" x14ac:dyDescent="0.3">
      <c r="A1066" s="2" t="s">
        <v>764</v>
      </c>
      <c r="B1066" s="681" t="str">
        <f t="shared" si="24"/>
        <v>TRAK-P.6</v>
      </c>
      <c r="C1066" s="687" t="str">
        <f>'10'!Q66</f>
        <v>Ne</v>
      </c>
    </row>
    <row r="1067" spans="1:3" x14ac:dyDescent="0.3">
      <c r="A1067" s="2" t="s">
        <v>765</v>
      </c>
      <c r="B1067" s="681" t="str">
        <f t="shared" si="24"/>
        <v>TRAK-P.7</v>
      </c>
      <c r="C1067" s="687" t="str">
        <f>'10'!Q67</f>
        <v>Ne</v>
      </c>
    </row>
    <row r="1068" spans="1:3" x14ac:dyDescent="0.3">
      <c r="A1068" s="2" t="s">
        <v>766</v>
      </c>
      <c r="B1068" s="681" t="str">
        <f t="shared" si="24"/>
        <v>TRAK-P.8</v>
      </c>
      <c r="C1068" s="687" t="str">
        <f>'10'!Q68</f>
        <v>Ne</v>
      </c>
    </row>
    <row r="1069" spans="1:3" x14ac:dyDescent="0.3">
      <c r="A1069" s="2" t="s">
        <v>767</v>
      </c>
      <c r="B1069" s="681" t="str">
        <f t="shared" si="24"/>
        <v>TRAK-P.9</v>
      </c>
      <c r="C1069" s="687" t="str">
        <f>'10'!Q69</f>
        <v>Ne</v>
      </c>
    </row>
    <row r="1070" spans="1:3" x14ac:dyDescent="0.3">
      <c r="A1070" s="2" t="s">
        <v>768</v>
      </c>
      <c r="B1070" s="683" t="str">
        <f t="shared" si="24"/>
        <v>TRAK-P.10</v>
      </c>
      <c r="C1070" s="689" t="str">
        <f>'10'!Q70</f>
        <v>Ne</v>
      </c>
    </row>
    <row r="1071" spans="1:3" x14ac:dyDescent="0.3">
      <c r="A1071" s="2" t="s">
        <v>769</v>
      </c>
      <c r="B1071" s="675" t="str">
        <f t="shared" si="24"/>
        <v>F dalis. Pagal priemonę remiamų projektų pobūdis:</v>
      </c>
      <c r="C1071" s="676"/>
    </row>
    <row r="1072" spans="1:3" x14ac:dyDescent="0.3">
      <c r="A1072" s="2" t="s">
        <v>770</v>
      </c>
      <c r="B1072" s="671" t="str">
        <f t="shared" ref="B1072:B1081" si="25">B995</f>
        <v>Remiami pelno projektai</v>
      </c>
      <c r="C1072" s="672" t="str">
        <f>'10'!Q72</f>
        <v>Ne</v>
      </c>
    </row>
    <row r="1073" spans="1:3" ht="57.6" x14ac:dyDescent="0.3">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57.6" x14ac:dyDescent="0.3">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3.2" x14ac:dyDescent="0.3">
      <c r="A1075" s="2" t="s">
        <v>773</v>
      </c>
      <c r="B1075" s="673" t="str">
        <f t="shared" si="25"/>
        <v>Remiami projektai, susiję su atsinaujinančios energijos gamybos pajėgumais, įskaitant biologinę (aktualu rodikliui L803)</v>
      </c>
      <c r="C1075" s="672" t="str">
        <f>'10'!Q75</f>
        <v>Ne</v>
      </c>
    </row>
    <row r="1076" spans="1:3" ht="43.2" x14ac:dyDescent="0.3">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28.8" x14ac:dyDescent="0.3">
      <c r="A1077" s="2" t="s">
        <v>775</v>
      </c>
      <c r="B1077" s="673" t="str">
        <f t="shared" si="25"/>
        <v>Remiami projektai, kurie kuria darbo vietas (aktualu rodikliui L805)</v>
      </c>
      <c r="C1077" s="672" t="str">
        <f>'10'!Q77</f>
        <v>Ne</v>
      </c>
    </row>
    <row r="1078" spans="1:3" ht="28.8" x14ac:dyDescent="0.3">
      <c r="A1078" s="2" t="s">
        <v>776</v>
      </c>
      <c r="B1078" s="673" t="str">
        <f t="shared" si="25"/>
        <v>Remiami kaimo verslų, įskaitant bioekonomiką, projektai (aktualu rodikliui L 806)</v>
      </c>
      <c r="C1078" s="672" t="str">
        <f>'10'!Q78</f>
        <v>Ne</v>
      </c>
    </row>
    <row r="1079" spans="1:3" ht="28.8" x14ac:dyDescent="0.3">
      <c r="A1079" s="2" t="s">
        <v>777</v>
      </c>
      <c r="B1079" s="673" t="str">
        <f t="shared" si="25"/>
        <v>Remiami projektai, susiję su sumanių kaimų strategijomis (aktualu rodikliui L807)</v>
      </c>
      <c r="C1079" s="672" t="str">
        <f>'10'!Q79</f>
        <v>Ne</v>
      </c>
    </row>
    <row r="1080" spans="1:3" ht="28.8" x14ac:dyDescent="0.3">
      <c r="A1080" s="2" t="s">
        <v>778</v>
      </c>
      <c r="B1080" s="673" t="str">
        <f t="shared" si="25"/>
        <v>Remiami projektai, gerinantys paslaugų prieinamumą ir infrastruktūrą (aktualu rodikliui L808)</v>
      </c>
      <c r="C1080" s="672" t="str">
        <f>'10'!Q80</f>
        <v>Ne</v>
      </c>
    </row>
    <row r="1081" spans="1:3" ht="28.8" x14ac:dyDescent="0.3">
      <c r="A1081" s="2" t="s">
        <v>779</v>
      </c>
      <c r="B1081" s="673" t="str">
        <f t="shared" si="25"/>
        <v>Remiami socialinės įtraukties projektai (aktualu rodikliui L809)</v>
      </c>
      <c r="C1081" s="672" t="str">
        <f>'10'!Q81</f>
        <v>Ne</v>
      </c>
    </row>
    <row r="1082" spans="1:3" x14ac:dyDescent="0.3">
      <c r="A1082" s="2"/>
      <c r="B1082" s="649"/>
      <c r="C1082" s="685"/>
    </row>
    <row r="1083" spans="1:3" x14ac:dyDescent="0.3">
      <c r="A1083" s="1"/>
      <c r="B1083" s="362"/>
      <c r="C1083" s="686" t="str">
        <f>'10'!R6</f>
        <v>15 priemonė</v>
      </c>
    </row>
    <row r="1084" spans="1:3" x14ac:dyDescent="0.3">
      <c r="A1084" s="2" t="s">
        <v>188</v>
      </c>
      <c r="B1084" s="509" t="str">
        <f>B1007</f>
        <v>Priemonės pavadinimas</v>
      </c>
      <c r="C1084" s="670">
        <f>'10'!R7</f>
        <v>0</v>
      </c>
    </row>
    <row r="1085" spans="1:3" x14ac:dyDescent="0.3">
      <c r="A1085" s="2" t="s">
        <v>189</v>
      </c>
      <c r="B1085" s="671" t="str">
        <f t="shared" ref="B1085:B1148" si="26">B1008</f>
        <v>Priemonės rūšis</v>
      </c>
      <c r="C1085" s="670">
        <f>'10'!R8</f>
        <v>0</v>
      </c>
    </row>
    <row r="1086" spans="1:3" x14ac:dyDescent="0.3">
      <c r="A1086" s="2" t="s">
        <v>190</v>
      </c>
      <c r="B1086" s="671" t="str">
        <f t="shared" si="26"/>
        <v>VVG teritorijos poreikių, kuriuos tenkina priemonė, skaičius</v>
      </c>
      <c r="C1086" s="670">
        <f>'10'!R9</f>
        <v>0</v>
      </c>
    </row>
    <row r="1087" spans="1:3" x14ac:dyDescent="0.3">
      <c r="A1087" s="2" t="s">
        <v>191</v>
      </c>
      <c r="B1087" s="671" t="str">
        <f t="shared" si="26"/>
        <v>BŽŪP tikslų, kuriuos įgyvendina priemonė, skaičius</v>
      </c>
      <c r="C1087" s="670">
        <f>'10'!R10</f>
        <v>0</v>
      </c>
    </row>
    <row r="1088" spans="1:3" x14ac:dyDescent="0.3">
      <c r="A1088" s="2" t="s">
        <v>192</v>
      </c>
      <c r="B1088" s="671" t="str">
        <f t="shared" si="26"/>
        <v>Pagrindinis BŽŪP tikslas, kurį įgyvendina VPS priemonė</v>
      </c>
      <c r="C1088" s="672" t="str">
        <f>'10'!R11</f>
        <v>Pasirinkite</v>
      </c>
    </row>
    <row r="1089" spans="1:3" ht="28.8" x14ac:dyDescent="0.3">
      <c r="A1089" s="2" t="s">
        <v>193</v>
      </c>
      <c r="B1089" s="673" t="str">
        <f t="shared" si="26"/>
        <v>Ar priemonė prisideda prie 4 konkretaus BŽŪP tikslo? (tikslas nurodytas 5 lape)</v>
      </c>
      <c r="C1089" s="672" t="str">
        <f>'10'!R12</f>
        <v>Ne</v>
      </c>
    </row>
    <row r="1090" spans="1:3" ht="28.8" x14ac:dyDescent="0.3">
      <c r="A1090" s="2" t="s">
        <v>194</v>
      </c>
      <c r="B1090" s="673" t="str">
        <f t="shared" si="26"/>
        <v>Ar priemonė prisideda prie 5 konkretaus BŽŪP tikslo? (tikslas nurodytas 5 lape)</v>
      </c>
      <c r="C1090" s="672" t="str">
        <f>'10'!R13</f>
        <v>Ne</v>
      </c>
    </row>
    <row r="1091" spans="1:3" ht="28.8" x14ac:dyDescent="0.3">
      <c r="A1091" s="2" t="s">
        <v>195</v>
      </c>
      <c r="B1091" s="673" t="str">
        <f t="shared" si="26"/>
        <v>Ar priemonė prisideda prie 6 konkretaus BŽŪP tikslo? (tikslas nurodytas 5 lape)</v>
      </c>
      <c r="C1091" s="672" t="str">
        <f>'10'!R14</f>
        <v>Ne</v>
      </c>
    </row>
    <row r="1092" spans="1:3" ht="28.8" x14ac:dyDescent="0.3">
      <c r="A1092" s="2" t="s">
        <v>196</v>
      </c>
      <c r="B1092" s="673" t="str">
        <f t="shared" si="26"/>
        <v>Ar priemonė prisideda prie 9 konkretaus BŽŪP tikslo? (tikslas nurodytas 5 lape)</v>
      </c>
      <c r="C1092" s="672" t="str">
        <f>'10'!R15</f>
        <v>Ne</v>
      </c>
    </row>
    <row r="1093" spans="1:3" x14ac:dyDescent="0.3">
      <c r="A1093" s="2" t="s">
        <v>94</v>
      </c>
      <c r="B1093" s="675" t="str">
        <f t="shared" si="26"/>
        <v>A dalis. Priemonės intervencijos logika:</v>
      </c>
      <c r="C1093" s="676"/>
    </row>
    <row r="1094" spans="1:3" ht="43.2" x14ac:dyDescent="0.3">
      <c r="A1094" s="2" t="s">
        <v>197</v>
      </c>
      <c r="B1094" s="673" t="str">
        <f t="shared" si="26"/>
        <v>Priemonės tikslas, ryšys su pagrindiniu BŽŪP tikslu ir VVG teritorijos poreikiais (problemomis ir (arba) potencialu), ryšys su VPS tema (jei taikoma)</v>
      </c>
      <c r="C1094" s="677">
        <f>'10'!R17</f>
        <v>0</v>
      </c>
    </row>
    <row r="1095" spans="1:3" x14ac:dyDescent="0.3">
      <c r="A1095" s="2" t="s">
        <v>198</v>
      </c>
      <c r="B1095" s="671" t="str">
        <f t="shared" si="26"/>
        <v>Pokytis, kurio siekiama VPS priemone</v>
      </c>
      <c r="C1095" s="677">
        <f>'10'!R18</f>
        <v>0</v>
      </c>
    </row>
    <row r="1096" spans="1:3" ht="28.8" x14ac:dyDescent="0.3">
      <c r="A1096" s="2" t="s">
        <v>199</v>
      </c>
      <c r="B1096" s="509" t="str">
        <f t="shared" si="26"/>
        <v>Kaip priemonė prisidės prie horizontalaus tikslo d įgyvendinimo? (pildoma, jei taikoma)</v>
      </c>
      <c r="C1096" s="677">
        <f>'10'!R19</f>
        <v>0</v>
      </c>
    </row>
    <row r="1097" spans="1:3" ht="28.8" x14ac:dyDescent="0.3">
      <c r="A1097" s="2" t="s">
        <v>200</v>
      </c>
      <c r="B1097" s="509" t="str">
        <f t="shared" si="26"/>
        <v>Kaip priemonė prisidės prie horizontalaus tikslo e įgyvendinimo? (pildoma, jei taikoma)</v>
      </c>
      <c r="C1097" s="677">
        <f>'10'!R20</f>
        <v>0</v>
      </c>
    </row>
    <row r="1098" spans="1:3" ht="28.8" x14ac:dyDescent="0.3">
      <c r="A1098" s="2" t="s">
        <v>201</v>
      </c>
      <c r="B1098" s="509" t="str">
        <f t="shared" si="26"/>
        <v>Kaip priemonė prisidės prie horizontalaus tikslo f įgyvendinimo? (pildoma, jei taikoma)</v>
      </c>
      <c r="C1098" s="677">
        <f>'10'!R21</f>
        <v>0</v>
      </c>
    </row>
    <row r="1099" spans="1:3" ht="28.8" x14ac:dyDescent="0.3">
      <c r="A1099" s="2" t="s">
        <v>202</v>
      </c>
      <c r="B1099" s="509" t="str">
        <f t="shared" si="26"/>
        <v>Kaip priemonė prisidės prie horizontalaus tikslo i įgyvendinimo? (pildoma, jei taikoma)</v>
      </c>
      <c r="C1099" s="677">
        <f>'10'!R22</f>
        <v>0</v>
      </c>
    </row>
    <row r="1100" spans="1:3" ht="28.8" x14ac:dyDescent="0.3">
      <c r="A1100" s="2" t="s">
        <v>203</v>
      </c>
      <c r="B1100" s="675" t="str">
        <f t="shared" si="26"/>
        <v>B dalis. Pareiškėjų ir projektų tinkamumo sąlygos, projektų atrankos principai:</v>
      </c>
      <c r="C1100" s="676"/>
    </row>
    <row r="1101" spans="1:3" x14ac:dyDescent="0.3">
      <c r="A1101" s="2" t="s">
        <v>204</v>
      </c>
      <c r="B1101" s="509" t="str">
        <f t="shared" si="26"/>
        <v>Pagal priemonę remiamos veiklos</v>
      </c>
      <c r="C1101" s="677">
        <f>'10'!R24</f>
        <v>0</v>
      </c>
    </row>
    <row r="1102" spans="1:3" ht="28.8" x14ac:dyDescent="0.3">
      <c r="A1102" s="2" t="s">
        <v>205</v>
      </c>
      <c r="B1102" s="671" t="str">
        <f t="shared" si="26"/>
        <v>Tinkami pareiškėjai ir partneriai (jei taikomas reikalavimas projektus įgyvendinti su partneriais)</v>
      </c>
      <c r="C1102" s="677">
        <f>'10'!R25</f>
        <v>0</v>
      </c>
    </row>
    <row r="1103" spans="1:3" ht="28.8" x14ac:dyDescent="0.3">
      <c r="A1103" s="2" t="s">
        <v>206</v>
      </c>
      <c r="B1103" s="671" t="str">
        <f t="shared" si="26"/>
        <v>Priemonės tikslinė grupė (pildoma, jei nesutampa su tinkamais pareiškėjais ir (arba) partneriais)</v>
      </c>
      <c r="C1103" s="677">
        <f>'10'!R26</f>
        <v>0</v>
      </c>
    </row>
    <row r="1104" spans="1:3" x14ac:dyDescent="0.3">
      <c r="A1104" s="2" t="s">
        <v>725</v>
      </c>
      <c r="B1104" s="509" t="str">
        <f t="shared" si="26"/>
        <v>Tinkamumo sąlygos pareiškėjams ir projektams</v>
      </c>
      <c r="C1104" s="677">
        <f>'10'!R27</f>
        <v>0</v>
      </c>
    </row>
    <row r="1105" spans="1:3" x14ac:dyDescent="0.3">
      <c r="A1105" s="2" t="s">
        <v>726</v>
      </c>
      <c r="B1105" s="673" t="str">
        <f t="shared" si="26"/>
        <v>Projektų atrankos principai</v>
      </c>
      <c r="C1105" s="677">
        <f>'10'!R28</f>
        <v>0</v>
      </c>
    </row>
    <row r="1106" spans="1:3" x14ac:dyDescent="0.3">
      <c r="A1106" s="2" t="s">
        <v>727</v>
      </c>
      <c r="B1106" s="509" t="str">
        <f t="shared" si="26"/>
        <v>Planuojamų kvietimų teikti paraiškas skaičius</v>
      </c>
      <c r="C1106" s="670">
        <f>'10'!R29</f>
        <v>0</v>
      </c>
    </row>
    <row r="1107" spans="1:3" x14ac:dyDescent="0.3">
      <c r="A1107" s="2" t="s">
        <v>728</v>
      </c>
      <c r="B1107" s="651" t="str">
        <f t="shared" si="26"/>
        <v>C dalis. Paramos dydžiai:</v>
      </c>
      <c r="C1107" s="676"/>
    </row>
    <row r="1108" spans="1:3" x14ac:dyDescent="0.3">
      <c r="A1108" s="2" t="s">
        <v>729</v>
      </c>
      <c r="B1108" s="509" t="str">
        <f t="shared" si="26"/>
        <v>Didžiausia paramos suma vietos projektui, Eur</v>
      </c>
      <c r="C1108" s="677">
        <f>'10'!R31</f>
        <v>0</v>
      </c>
    </row>
    <row r="1109" spans="1:3" x14ac:dyDescent="0.3">
      <c r="A1109" s="2" t="s">
        <v>730</v>
      </c>
      <c r="B1109" s="509" t="str">
        <f t="shared" si="26"/>
        <v xml:space="preserve">Paramos lyginamoji dalis, proc. </v>
      </c>
      <c r="C1109" s="677">
        <f>'10'!R32</f>
        <v>0</v>
      </c>
    </row>
    <row r="1110" spans="1:3" x14ac:dyDescent="0.3">
      <c r="A1110" s="2" t="s">
        <v>731</v>
      </c>
      <c r="B1110" s="509" t="str">
        <f t="shared" si="26"/>
        <v>Planuojama paramos suma priemonei, Eur</v>
      </c>
      <c r="C1110" s="678">
        <f>'10'!R33</f>
        <v>0</v>
      </c>
    </row>
    <row r="1111" spans="1:3" x14ac:dyDescent="0.3">
      <c r="A1111" s="2" t="s">
        <v>732</v>
      </c>
      <c r="B1111" s="509" t="str">
        <f t="shared" si="26"/>
        <v>Planuojama paremti projektų (rodiklis L700)</v>
      </c>
      <c r="C1111" s="679">
        <f>'10'!R34</f>
        <v>0</v>
      </c>
    </row>
    <row r="1112" spans="1:3" x14ac:dyDescent="0.3">
      <c r="A1112" s="2" t="s">
        <v>733</v>
      </c>
      <c r="B1112" s="509" t="str">
        <f t="shared" si="26"/>
        <v>Paaiškinimas, kaip nustatyta rodiklio L700 reikšmė</v>
      </c>
      <c r="C1112" s="677">
        <f>'10'!R35</f>
        <v>0</v>
      </c>
    </row>
    <row r="1113" spans="1:3" ht="28.8" x14ac:dyDescent="0.3">
      <c r="A1113" s="2" t="s">
        <v>734</v>
      </c>
      <c r="B1113" s="651" t="str">
        <f t="shared" si="26"/>
        <v>D dalis. Priemonės indėlis į ES ir nacionalinių horizontaliųjų principų įgyvendinimą:</v>
      </c>
      <c r="C1113" s="676"/>
    </row>
    <row r="1114" spans="1:3" x14ac:dyDescent="0.3">
      <c r="A1114" s="2" t="s">
        <v>735</v>
      </c>
      <c r="B1114" s="680" t="str">
        <f t="shared" si="26"/>
        <v>Subregioninės vietovės principas:</v>
      </c>
      <c r="C1114" s="676"/>
    </row>
    <row r="1115" spans="1:3" ht="28.8" x14ac:dyDescent="0.3">
      <c r="A1115" s="2" t="s">
        <v>736</v>
      </c>
      <c r="B1115" s="509" t="str">
        <f t="shared" si="26"/>
        <v>Ar siekiama, kad pagal priemonę finansuojami projektai apimtų visas VVG teritorijos seniūnijas?</v>
      </c>
      <c r="C1115" s="672" t="str">
        <f>'10'!R38</f>
        <v>Ne</v>
      </c>
    </row>
    <row r="1116" spans="1:3" x14ac:dyDescent="0.3">
      <c r="A1116" s="2" t="s">
        <v>737</v>
      </c>
      <c r="B1116" s="509" t="str">
        <f t="shared" si="26"/>
        <v>Pasirinkimo pagrindimas</v>
      </c>
      <c r="C1116" s="677">
        <f>'10'!R39</f>
        <v>0</v>
      </c>
    </row>
    <row r="1117" spans="1:3" x14ac:dyDescent="0.3">
      <c r="A1117" s="2" t="s">
        <v>738</v>
      </c>
      <c r="B1117" s="680" t="str">
        <f t="shared" si="26"/>
        <v>Partnerystės principas:</v>
      </c>
      <c r="C1117" s="676"/>
    </row>
    <row r="1118" spans="1:3" ht="28.8" x14ac:dyDescent="0.3">
      <c r="A1118" s="2" t="s">
        <v>739</v>
      </c>
      <c r="B1118" s="509" t="str">
        <f t="shared" si="26"/>
        <v>Ar siekiama, kad pagal priemonę finansuojami projektai būtų vykdomi su partneriais?</v>
      </c>
      <c r="C1118" s="672" t="str">
        <f>'10'!R41</f>
        <v>Ne</v>
      </c>
    </row>
    <row r="1119" spans="1:3" x14ac:dyDescent="0.3">
      <c r="A1119" s="2" t="s">
        <v>740</v>
      </c>
      <c r="B1119" s="509" t="str">
        <f t="shared" si="26"/>
        <v>Pasirinkimo pagrindimas</v>
      </c>
      <c r="C1119" s="677">
        <f>'10'!R42</f>
        <v>0</v>
      </c>
    </row>
    <row r="1120" spans="1:3" x14ac:dyDescent="0.3">
      <c r="A1120" s="2" t="s">
        <v>741</v>
      </c>
      <c r="B1120" s="680" t="str">
        <f t="shared" si="26"/>
        <v>Inovacijų principas:</v>
      </c>
      <c r="C1120" s="676"/>
    </row>
    <row r="1121" spans="1:3" ht="28.8" x14ac:dyDescent="0.3">
      <c r="A1121" s="2" t="s">
        <v>742</v>
      </c>
      <c r="B1121" s="509" t="str">
        <f t="shared" si="26"/>
        <v>Ar siekiama, kad pagal priemonę finansuojami projektai būtų skirti inovacijoms vietos lygiu diegti?</v>
      </c>
      <c r="C1121" s="672" t="str">
        <f>'10'!R44</f>
        <v>Ne</v>
      </c>
    </row>
    <row r="1122" spans="1:3" x14ac:dyDescent="0.3">
      <c r="A1122" s="2" t="s">
        <v>743</v>
      </c>
      <c r="B1122" s="509" t="str">
        <f t="shared" si="26"/>
        <v>Pasirinkimo pagrindimas</v>
      </c>
      <c r="C1122" s="677">
        <f>'10'!R45</f>
        <v>0</v>
      </c>
    </row>
    <row r="1123" spans="1:3" ht="28.8" x14ac:dyDescent="0.3">
      <c r="A1123" s="2" t="s">
        <v>744</v>
      </c>
      <c r="B1123" s="509" t="str">
        <f t="shared" si="26"/>
        <v>Planuojama paremti projektų, skirtų inovacijoms vietos lygiu diegti (rodiklis L710)</v>
      </c>
      <c r="C1123" s="679">
        <f>'10'!R46</f>
        <v>0</v>
      </c>
    </row>
    <row r="1124" spans="1:3" x14ac:dyDescent="0.3">
      <c r="A1124" s="2" t="s">
        <v>745</v>
      </c>
      <c r="B1124" s="680" t="str">
        <f t="shared" si="26"/>
        <v>Lyčių lygybė ir nediskriminavimas:</v>
      </c>
      <c r="C1124" s="676"/>
    </row>
    <row r="1125" spans="1:3" ht="28.8" x14ac:dyDescent="0.3">
      <c r="A1125" s="2" t="s">
        <v>746</v>
      </c>
      <c r="B1125" s="509" t="str">
        <f t="shared" si="26"/>
        <v>Ar pagal priemonę finansuojami projektai, skirti lyčių lygybei ir nediskriminavimui?</v>
      </c>
      <c r="C1125" s="672" t="str">
        <f>'10'!R48</f>
        <v>Ne</v>
      </c>
    </row>
    <row r="1126" spans="1:3" x14ac:dyDescent="0.3">
      <c r="A1126" s="2" t="s">
        <v>747</v>
      </c>
      <c r="B1126" s="509" t="str">
        <f t="shared" si="26"/>
        <v>Pasirinkimo pagrindimas (jei taip, kaip bus užtikrinta)</v>
      </c>
      <c r="C1126" s="677">
        <f>'10'!R49</f>
        <v>0</v>
      </c>
    </row>
    <row r="1127" spans="1:3" x14ac:dyDescent="0.3">
      <c r="A1127" s="2" t="s">
        <v>748</v>
      </c>
      <c r="B1127" s="680" t="str">
        <f t="shared" si="26"/>
        <v>Jaunimas:</v>
      </c>
      <c r="C1127" s="676"/>
    </row>
    <row r="1128" spans="1:3" x14ac:dyDescent="0.3">
      <c r="A1128" s="2" t="s">
        <v>749</v>
      </c>
      <c r="B1128" s="509" t="str">
        <f t="shared" si="26"/>
        <v>Ar pagal priemonę finansuojami projektai, skirti jaunimui?</v>
      </c>
      <c r="C1128" s="672" t="str">
        <f>'10'!R51</f>
        <v>Ne</v>
      </c>
    </row>
    <row r="1129" spans="1:3" x14ac:dyDescent="0.3">
      <c r="A1129" s="2" t="s">
        <v>750</v>
      </c>
      <c r="B1129" s="509" t="str">
        <f t="shared" si="26"/>
        <v>Pasirinkimo pagrindimas (jei taip, kaip bus užtikrinta)</v>
      </c>
      <c r="C1129" s="677">
        <f>'10'!R52</f>
        <v>0</v>
      </c>
    </row>
    <row r="1130" spans="1:3" x14ac:dyDescent="0.3">
      <c r="A1130" s="2" t="s">
        <v>751</v>
      </c>
      <c r="B1130" s="675" t="str">
        <f t="shared" si="26"/>
        <v>E dalis. Priemonės rezultato rodikliai:</v>
      </c>
      <c r="C1130" s="676"/>
    </row>
    <row r="1131" spans="1:3" x14ac:dyDescent="0.3">
      <c r="A1131" s="2" t="s">
        <v>752</v>
      </c>
      <c r="B1131" s="680" t="str">
        <f t="shared" si="26"/>
        <v>SP rezultato rodiklių taikymas priemonei:</v>
      </c>
      <c r="C1131" s="676"/>
    </row>
    <row r="1132" spans="1:3" x14ac:dyDescent="0.3">
      <c r="A1132" s="2" t="s">
        <v>753</v>
      </c>
      <c r="B1132" s="681" t="str">
        <f t="shared" si="26"/>
        <v>R.3</v>
      </c>
      <c r="C1132" s="687" t="str">
        <f>'10'!R55</f>
        <v>Ne</v>
      </c>
    </row>
    <row r="1133" spans="1:3" x14ac:dyDescent="0.3">
      <c r="A1133" s="2" t="s">
        <v>754</v>
      </c>
      <c r="B1133" s="681" t="str">
        <f t="shared" si="26"/>
        <v>R.37</v>
      </c>
      <c r="C1133" s="687" t="str">
        <f>'10'!R56</f>
        <v>Ne</v>
      </c>
    </row>
    <row r="1134" spans="1:3" x14ac:dyDescent="0.3">
      <c r="A1134" s="2" t="s">
        <v>755</v>
      </c>
      <c r="B1134" s="681" t="str">
        <f t="shared" si="26"/>
        <v>R.39</v>
      </c>
      <c r="C1134" s="687" t="str">
        <f>'10'!R57</f>
        <v>Ne</v>
      </c>
    </row>
    <row r="1135" spans="1:3" x14ac:dyDescent="0.3">
      <c r="A1135" s="2" t="s">
        <v>756</v>
      </c>
      <c r="B1135" s="681" t="str">
        <f t="shared" si="26"/>
        <v>R.41</v>
      </c>
      <c r="C1135" s="687" t="str">
        <f>'10'!R58</f>
        <v>Ne</v>
      </c>
    </row>
    <row r="1136" spans="1:3" x14ac:dyDescent="0.3">
      <c r="A1136" s="2" t="s">
        <v>757</v>
      </c>
      <c r="B1136" s="681" t="str">
        <f t="shared" si="26"/>
        <v>R.42</v>
      </c>
      <c r="C1136" s="687" t="str">
        <f>'10'!R59</f>
        <v>Ne</v>
      </c>
    </row>
    <row r="1137" spans="1:3" x14ac:dyDescent="0.3">
      <c r="A1137" s="2" t="s">
        <v>758</v>
      </c>
      <c r="B1137" s="680" t="str">
        <f t="shared" si="26"/>
        <v>VPS rodiklių taikymas priemonei:</v>
      </c>
      <c r="C1137" s="688"/>
    </row>
    <row r="1138" spans="1:3" x14ac:dyDescent="0.3">
      <c r="A1138" s="2" t="s">
        <v>759</v>
      </c>
      <c r="B1138" s="681" t="str">
        <f t="shared" si="26"/>
        <v>TRAK-P.1</v>
      </c>
      <c r="C1138" s="687" t="str">
        <f>'10'!R61</f>
        <v>Ne</v>
      </c>
    </row>
    <row r="1139" spans="1:3" x14ac:dyDescent="0.3">
      <c r="A1139" s="2" t="s">
        <v>760</v>
      </c>
      <c r="B1139" s="681" t="str">
        <f t="shared" si="26"/>
        <v>TRAK-P.2</v>
      </c>
      <c r="C1139" s="687" t="str">
        <f>'10'!R62</f>
        <v>Ne</v>
      </c>
    </row>
    <row r="1140" spans="1:3" x14ac:dyDescent="0.3">
      <c r="A1140" s="2" t="s">
        <v>761</v>
      </c>
      <c r="B1140" s="681" t="str">
        <f t="shared" si="26"/>
        <v>TRAK-P.3</v>
      </c>
      <c r="C1140" s="687" t="str">
        <f>'10'!R63</f>
        <v>Ne</v>
      </c>
    </row>
    <row r="1141" spans="1:3" x14ac:dyDescent="0.3">
      <c r="A1141" s="2" t="s">
        <v>762</v>
      </c>
      <c r="B1141" s="681" t="str">
        <f t="shared" si="26"/>
        <v>TRAK-P.4</v>
      </c>
      <c r="C1141" s="687" t="str">
        <f>'10'!R64</f>
        <v>Ne</v>
      </c>
    </row>
    <row r="1142" spans="1:3" x14ac:dyDescent="0.3">
      <c r="A1142" s="2" t="s">
        <v>763</v>
      </c>
      <c r="B1142" s="681" t="str">
        <f t="shared" si="26"/>
        <v>TRAK-P.5</v>
      </c>
      <c r="C1142" s="687" t="str">
        <f>'10'!R65</f>
        <v>Ne</v>
      </c>
    </row>
    <row r="1143" spans="1:3" x14ac:dyDescent="0.3">
      <c r="A1143" s="2" t="s">
        <v>764</v>
      </c>
      <c r="B1143" s="681" t="str">
        <f t="shared" si="26"/>
        <v>TRAK-P.6</v>
      </c>
      <c r="C1143" s="687" t="str">
        <f>'10'!R66</f>
        <v>Ne</v>
      </c>
    </row>
    <row r="1144" spans="1:3" x14ac:dyDescent="0.3">
      <c r="A1144" s="2" t="s">
        <v>765</v>
      </c>
      <c r="B1144" s="681" t="str">
        <f t="shared" si="26"/>
        <v>TRAK-P.7</v>
      </c>
      <c r="C1144" s="687" t="str">
        <f>'10'!R67</f>
        <v>Ne</v>
      </c>
    </row>
    <row r="1145" spans="1:3" x14ac:dyDescent="0.3">
      <c r="A1145" s="2" t="s">
        <v>766</v>
      </c>
      <c r="B1145" s="681" t="str">
        <f t="shared" si="26"/>
        <v>TRAK-P.8</v>
      </c>
      <c r="C1145" s="687" t="str">
        <f>'10'!R68</f>
        <v>Ne</v>
      </c>
    </row>
    <row r="1146" spans="1:3" x14ac:dyDescent="0.3">
      <c r="A1146" s="2" t="s">
        <v>767</v>
      </c>
      <c r="B1146" s="681" t="str">
        <f t="shared" si="26"/>
        <v>TRAK-P.9</v>
      </c>
      <c r="C1146" s="687" t="str">
        <f>'10'!R69</f>
        <v>Ne</v>
      </c>
    </row>
    <row r="1147" spans="1:3" x14ac:dyDescent="0.3">
      <c r="A1147" s="2" t="s">
        <v>768</v>
      </c>
      <c r="B1147" s="683" t="str">
        <f t="shared" si="26"/>
        <v>TRAK-P.10</v>
      </c>
      <c r="C1147" s="689" t="str">
        <f>'10'!R70</f>
        <v>Ne</v>
      </c>
    </row>
    <row r="1148" spans="1:3" x14ac:dyDescent="0.3">
      <c r="A1148" s="2" t="s">
        <v>769</v>
      </c>
      <c r="B1148" s="675" t="str">
        <f t="shared" si="26"/>
        <v>F dalis. Pagal priemonę remiamų projektų pobūdis:</v>
      </c>
      <c r="C1148" s="676"/>
    </row>
    <row r="1149" spans="1:3" x14ac:dyDescent="0.3">
      <c r="A1149" s="2" t="s">
        <v>770</v>
      </c>
      <c r="B1149" s="671" t="str">
        <f t="shared" ref="B1149:B1158" si="27">B1072</f>
        <v>Remiami pelno projektai</v>
      </c>
      <c r="C1149" s="672" t="str">
        <f>'10'!R72</f>
        <v>Ne</v>
      </c>
    </row>
    <row r="1150" spans="1:3" ht="57.6" x14ac:dyDescent="0.3">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57.6" x14ac:dyDescent="0.3">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3.2" x14ac:dyDescent="0.3">
      <c r="A1152" s="2" t="s">
        <v>773</v>
      </c>
      <c r="B1152" s="673" t="str">
        <f t="shared" si="27"/>
        <v>Remiami projektai, susiję su atsinaujinančios energijos gamybos pajėgumais, įskaitant biologinę (aktualu rodikliui L803)</v>
      </c>
      <c r="C1152" s="672" t="str">
        <f>'10'!R75</f>
        <v>Ne</v>
      </c>
    </row>
    <row r="1153" spans="1:3" ht="43.2" x14ac:dyDescent="0.3">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28.8" x14ac:dyDescent="0.3">
      <c r="A1154" s="2" t="s">
        <v>775</v>
      </c>
      <c r="B1154" s="673" t="str">
        <f t="shared" si="27"/>
        <v>Remiami projektai, kurie kuria darbo vietas (aktualu rodikliui L805)</v>
      </c>
      <c r="C1154" s="672" t="str">
        <f>'10'!R77</f>
        <v>Ne</v>
      </c>
    </row>
    <row r="1155" spans="1:3" ht="28.8" x14ac:dyDescent="0.3">
      <c r="A1155" s="2" t="s">
        <v>776</v>
      </c>
      <c r="B1155" s="673" t="str">
        <f t="shared" si="27"/>
        <v>Remiami kaimo verslų, įskaitant bioekonomiką, projektai (aktualu rodikliui L 806)</v>
      </c>
      <c r="C1155" s="672" t="str">
        <f>'10'!R78</f>
        <v>Ne</v>
      </c>
    </row>
    <row r="1156" spans="1:3" ht="28.8" x14ac:dyDescent="0.3">
      <c r="A1156" s="2" t="s">
        <v>777</v>
      </c>
      <c r="B1156" s="673" t="str">
        <f t="shared" si="27"/>
        <v>Remiami projektai, susiję su sumanių kaimų strategijomis (aktualu rodikliui L807)</v>
      </c>
      <c r="C1156" s="672" t="str">
        <f>'10'!R79</f>
        <v>Ne</v>
      </c>
    </row>
    <row r="1157" spans="1:3" ht="28.8" x14ac:dyDescent="0.3">
      <c r="A1157" s="2" t="s">
        <v>778</v>
      </c>
      <c r="B1157" s="673" t="str">
        <f t="shared" si="27"/>
        <v>Remiami projektai, gerinantys paslaugų prieinamumą ir infrastruktūrą (aktualu rodikliui L808)</v>
      </c>
      <c r="C1157" s="672" t="str">
        <f>'10'!R80</f>
        <v>Ne</v>
      </c>
    </row>
    <row r="1158" spans="1:3" ht="28.8" x14ac:dyDescent="0.3">
      <c r="A1158" s="2" t="s">
        <v>779</v>
      </c>
      <c r="B1158" s="673" t="str">
        <f t="shared" si="27"/>
        <v>Remiami socialinės įtraukties projektai (aktualu rodikliui L809)</v>
      </c>
      <c r="C1158" s="672" t="str">
        <f>'10'!R81</f>
        <v>Ne</v>
      </c>
    </row>
    <row r="1159" spans="1:3" x14ac:dyDescent="0.3">
      <c r="B1159" s="649"/>
      <c r="C1159" s="685"/>
    </row>
    <row r="1160" spans="1:3" x14ac:dyDescent="0.3">
      <c r="A1160" s="1"/>
      <c r="B1160" s="362"/>
      <c r="C1160" s="686" t="str">
        <f>'10'!S6</f>
        <v>16 priemonė</v>
      </c>
    </row>
    <row r="1161" spans="1:3" x14ac:dyDescent="0.3">
      <c r="A1161" s="2" t="s">
        <v>188</v>
      </c>
      <c r="B1161" s="509" t="str">
        <f>B1084</f>
        <v>Priemonės pavadinimas</v>
      </c>
      <c r="C1161" s="670">
        <f>'10'!S7</f>
        <v>0</v>
      </c>
    </row>
    <row r="1162" spans="1:3" x14ac:dyDescent="0.3">
      <c r="A1162" s="2" t="s">
        <v>189</v>
      </c>
      <c r="B1162" s="671" t="str">
        <f t="shared" ref="B1162:B1225" si="28">B1085</f>
        <v>Priemonės rūšis</v>
      </c>
      <c r="C1162" s="670">
        <f>'10'!S8</f>
        <v>0</v>
      </c>
    </row>
    <row r="1163" spans="1:3" x14ac:dyDescent="0.3">
      <c r="A1163" s="2" t="s">
        <v>190</v>
      </c>
      <c r="B1163" s="671" t="str">
        <f t="shared" si="28"/>
        <v>VVG teritorijos poreikių, kuriuos tenkina priemonė, skaičius</v>
      </c>
      <c r="C1163" s="670">
        <f>'10'!S9</f>
        <v>0</v>
      </c>
    </row>
    <row r="1164" spans="1:3" x14ac:dyDescent="0.3">
      <c r="A1164" s="2" t="s">
        <v>191</v>
      </c>
      <c r="B1164" s="671" t="str">
        <f t="shared" si="28"/>
        <v>BŽŪP tikslų, kuriuos įgyvendina priemonė, skaičius</v>
      </c>
      <c r="C1164" s="670">
        <f>'10'!S10</f>
        <v>0</v>
      </c>
    </row>
    <row r="1165" spans="1:3" x14ac:dyDescent="0.3">
      <c r="A1165" s="2" t="s">
        <v>192</v>
      </c>
      <c r="B1165" s="671" t="str">
        <f t="shared" si="28"/>
        <v>Pagrindinis BŽŪP tikslas, kurį įgyvendina VPS priemonė</v>
      </c>
      <c r="C1165" s="672" t="str">
        <f>'10'!S11</f>
        <v>Pasirinkite</v>
      </c>
    </row>
    <row r="1166" spans="1:3" ht="28.8" x14ac:dyDescent="0.3">
      <c r="A1166" s="2" t="s">
        <v>193</v>
      </c>
      <c r="B1166" s="673" t="str">
        <f t="shared" si="28"/>
        <v>Ar priemonė prisideda prie 4 konkretaus BŽŪP tikslo? (tikslas nurodytas 5 lape)</v>
      </c>
      <c r="C1166" s="672" t="str">
        <f>'10'!S12</f>
        <v>Ne</v>
      </c>
    </row>
    <row r="1167" spans="1:3" ht="28.8" x14ac:dyDescent="0.3">
      <c r="A1167" s="2" t="s">
        <v>194</v>
      </c>
      <c r="B1167" s="673" t="str">
        <f t="shared" si="28"/>
        <v>Ar priemonė prisideda prie 5 konkretaus BŽŪP tikslo? (tikslas nurodytas 5 lape)</v>
      </c>
      <c r="C1167" s="672" t="str">
        <f>'10'!S13</f>
        <v>Ne</v>
      </c>
    </row>
    <row r="1168" spans="1:3" ht="28.8" x14ac:dyDescent="0.3">
      <c r="A1168" s="2" t="s">
        <v>195</v>
      </c>
      <c r="B1168" s="673" t="str">
        <f t="shared" si="28"/>
        <v>Ar priemonė prisideda prie 6 konkretaus BŽŪP tikslo? (tikslas nurodytas 5 lape)</v>
      </c>
      <c r="C1168" s="672" t="str">
        <f>'10'!S14</f>
        <v>Ne</v>
      </c>
    </row>
    <row r="1169" spans="1:3" ht="28.8" x14ac:dyDescent="0.3">
      <c r="A1169" s="2" t="s">
        <v>196</v>
      </c>
      <c r="B1169" s="673" t="str">
        <f t="shared" si="28"/>
        <v>Ar priemonė prisideda prie 9 konkretaus BŽŪP tikslo? (tikslas nurodytas 5 lape)</v>
      </c>
      <c r="C1169" s="672" t="str">
        <f>'10'!S15</f>
        <v>Ne</v>
      </c>
    </row>
    <row r="1170" spans="1:3" x14ac:dyDescent="0.3">
      <c r="A1170" s="2" t="s">
        <v>94</v>
      </c>
      <c r="B1170" s="675" t="str">
        <f t="shared" si="28"/>
        <v>A dalis. Priemonės intervencijos logika:</v>
      </c>
      <c r="C1170" s="676"/>
    </row>
    <row r="1171" spans="1:3" ht="43.2" x14ac:dyDescent="0.3">
      <c r="A1171" s="2" t="s">
        <v>197</v>
      </c>
      <c r="B1171" s="673" t="str">
        <f t="shared" si="28"/>
        <v>Priemonės tikslas, ryšys su pagrindiniu BŽŪP tikslu ir VVG teritorijos poreikiais (problemomis ir (arba) potencialu), ryšys su VPS tema (jei taikoma)</v>
      </c>
      <c r="C1171" s="677">
        <f>'10'!S17</f>
        <v>0</v>
      </c>
    </row>
    <row r="1172" spans="1:3" x14ac:dyDescent="0.3">
      <c r="A1172" s="2" t="s">
        <v>198</v>
      </c>
      <c r="B1172" s="671" t="str">
        <f t="shared" si="28"/>
        <v>Pokytis, kurio siekiama VPS priemone</v>
      </c>
      <c r="C1172" s="677">
        <f>'10'!S18</f>
        <v>0</v>
      </c>
    </row>
    <row r="1173" spans="1:3" ht="28.8" x14ac:dyDescent="0.3">
      <c r="A1173" s="2" t="s">
        <v>199</v>
      </c>
      <c r="B1173" s="509" t="str">
        <f t="shared" si="28"/>
        <v>Kaip priemonė prisidės prie horizontalaus tikslo d įgyvendinimo? (pildoma, jei taikoma)</v>
      </c>
      <c r="C1173" s="677">
        <f>'10'!S19</f>
        <v>0</v>
      </c>
    </row>
    <row r="1174" spans="1:3" ht="28.8" x14ac:dyDescent="0.3">
      <c r="A1174" s="2" t="s">
        <v>200</v>
      </c>
      <c r="B1174" s="509" t="str">
        <f t="shared" si="28"/>
        <v>Kaip priemonė prisidės prie horizontalaus tikslo e įgyvendinimo? (pildoma, jei taikoma)</v>
      </c>
      <c r="C1174" s="677">
        <f>'10'!S20</f>
        <v>0</v>
      </c>
    </row>
    <row r="1175" spans="1:3" ht="28.8" x14ac:dyDescent="0.3">
      <c r="A1175" s="2" t="s">
        <v>201</v>
      </c>
      <c r="B1175" s="509" t="str">
        <f t="shared" si="28"/>
        <v>Kaip priemonė prisidės prie horizontalaus tikslo f įgyvendinimo? (pildoma, jei taikoma)</v>
      </c>
      <c r="C1175" s="677">
        <f>'10'!S21</f>
        <v>0</v>
      </c>
    </row>
    <row r="1176" spans="1:3" ht="28.8" x14ac:dyDescent="0.3">
      <c r="A1176" s="2" t="s">
        <v>202</v>
      </c>
      <c r="B1176" s="509" t="str">
        <f t="shared" si="28"/>
        <v>Kaip priemonė prisidės prie horizontalaus tikslo i įgyvendinimo? (pildoma, jei taikoma)</v>
      </c>
      <c r="C1176" s="677">
        <f>'10'!S22</f>
        <v>0</v>
      </c>
    </row>
    <row r="1177" spans="1:3" ht="28.8" x14ac:dyDescent="0.3">
      <c r="A1177" s="2" t="s">
        <v>203</v>
      </c>
      <c r="B1177" s="675" t="str">
        <f t="shared" si="28"/>
        <v>B dalis. Pareiškėjų ir projektų tinkamumo sąlygos, projektų atrankos principai:</v>
      </c>
      <c r="C1177" s="676"/>
    </row>
    <row r="1178" spans="1:3" x14ac:dyDescent="0.3">
      <c r="A1178" s="2" t="s">
        <v>204</v>
      </c>
      <c r="B1178" s="509" t="str">
        <f t="shared" si="28"/>
        <v>Pagal priemonę remiamos veiklos</v>
      </c>
      <c r="C1178" s="677">
        <f>'10'!S24</f>
        <v>0</v>
      </c>
    </row>
    <row r="1179" spans="1:3" ht="28.8" x14ac:dyDescent="0.3">
      <c r="A1179" s="2" t="s">
        <v>205</v>
      </c>
      <c r="B1179" s="671" t="str">
        <f t="shared" si="28"/>
        <v>Tinkami pareiškėjai ir partneriai (jei taikomas reikalavimas projektus įgyvendinti su partneriais)</v>
      </c>
      <c r="C1179" s="677">
        <f>'10'!S25</f>
        <v>0</v>
      </c>
    </row>
    <row r="1180" spans="1:3" ht="28.8" x14ac:dyDescent="0.3">
      <c r="A1180" s="2" t="s">
        <v>206</v>
      </c>
      <c r="B1180" s="671" t="str">
        <f t="shared" si="28"/>
        <v>Priemonės tikslinė grupė (pildoma, jei nesutampa su tinkamais pareiškėjais ir (arba) partneriais)</v>
      </c>
      <c r="C1180" s="677">
        <f>'10'!S26</f>
        <v>0</v>
      </c>
    </row>
    <row r="1181" spans="1:3" x14ac:dyDescent="0.3">
      <c r="A1181" s="2" t="s">
        <v>725</v>
      </c>
      <c r="B1181" s="509" t="str">
        <f t="shared" si="28"/>
        <v>Tinkamumo sąlygos pareiškėjams ir projektams</v>
      </c>
      <c r="C1181" s="677">
        <f>'10'!S27</f>
        <v>0</v>
      </c>
    </row>
    <row r="1182" spans="1:3" x14ac:dyDescent="0.3">
      <c r="A1182" s="2" t="s">
        <v>726</v>
      </c>
      <c r="B1182" s="673" t="str">
        <f t="shared" si="28"/>
        <v>Projektų atrankos principai</v>
      </c>
      <c r="C1182" s="677">
        <f>'10'!S28</f>
        <v>0</v>
      </c>
    </row>
    <row r="1183" spans="1:3" x14ac:dyDescent="0.3">
      <c r="A1183" s="2" t="s">
        <v>727</v>
      </c>
      <c r="B1183" s="509" t="str">
        <f t="shared" si="28"/>
        <v>Planuojamų kvietimų teikti paraiškas skaičius</v>
      </c>
      <c r="C1183" s="670">
        <f>'10'!S29</f>
        <v>0</v>
      </c>
    </row>
    <row r="1184" spans="1:3" x14ac:dyDescent="0.3">
      <c r="A1184" s="2" t="s">
        <v>728</v>
      </c>
      <c r="B1184" s="651" t="str">
        <f t="shared" si="28"/>
        <v>C dalis. Paramos dydžiai:</v>
      </c>
      <c r="C1184" s="676"/>
    </row>
    <row r="1185" spans="1:3" x14ac:dyDescent="0.3">
      <c r="A1185" s="2" t="s">
        <v>729</v>
      </c>
      <c r="B1185" s="509" t="str">
        <f t="shared" si="28"/>
        <v>Didžiausia paramos suma vietos projektui, Eur</v>
      </c>
      <c r="C1185" s="677">
        <f>'10'!S31</f>
        <v>0</v>
      </c>
    </row>
    <row r="1186" spans="1:3" x14ac:dyDescent="0.3">
      <c r="A1186" s="2" t="s">
        <v>730</v>
      </c>
      <c r="B1186" s="509" t="str">
        <f t="shared" si="28"/>
        <v xml:space="preserve">Paramos lyginamoji dalis, proc. </v>
      </c>
      <c r="C1186" s="677">
        <f>'10'!S32</f>
        <v>0</v>
      </c>
    </row>
    <row r="1187" spans="1:3" x14ac:dyDescent="0.3">
      <c r="A1187" s="2" t="s">
        <v>731</v>
      </c>
      <c r="B1187" s="509" t="str">
        <f t="shared" si="28"/>
        <v>Planuojama paramos suma priemonei, Eur</v>
      </c>
      <c r="C1187" s="678">
        <f>'10'!S33</f>
        <v>0</v>
      </c>
    </row>
    <row r="1188" spans="1:3" x14ac:dyDescent="0.3">
      <c r="A1188" s="2" t="s">
        <v>732</v>
      </c>
      <c r="B1188" s="509" t="str">
        <f t="shared" si="28"/>
        <v>Planuojama paremti projektų (rodiklis L700)</v>
      </c>
      <c r="C1188" s="679">
        <f>'10'!S34</f>
        <v>0</v>
      </c>
    </row>
    <row r="1189" spans="1:3" x14ac:dyDescent="0.3">
      <c r="A1189" s="2" t="s">
        <v>733</v>
      </c>
      <c r="B1189" s="509" t="str">
        <f t="shared" si="28"/>
        <v>Paaiškinimas, kaip nustatyta rodiklio L700 reikšmė</v>
      </c>
      <c r="C1189" s="677">
        <f>'10'!S35</f>
        <v>0</v>
      </c>
    </row>
    <row r="1190" spans="1:3" ht="28.8" x14ac:dyDescent="0.3">
      <c r="A1190" s="2" t="s">
        <v>734</v>
      </c>
      <c r="B1190" s="651" t="str">
        <f t="shared" si="28"/>
        <v>D dalis. Priemonės indėlis į ES ir nacionalinių horizontaliųjų principų įgyvendinimą:</v>
      </c>
      <c r="C1190" s="676"/>
    </row>
    <row r="1191" spans="1:3" x14ac:dyDescent="0.3">
      <c r="A1191" s="2" t="s">
        <v>735</v>
      </c>
      <c r="B1191" s="680" t="str">
        <f t="shared" si="28"/>
        <v>Subregioninės vietovės principas:</v>
      </c>
      <c r="C1191" s="676"/>
    </row>
    <row r="1192" spans="1:3" ht="28.8" x14ac:dyDescent="0.3">
      <c r="A1192" s="2" t="s">
        <v>736</v>
      </c>
      <c r="B1192" s="509" t="str">
        <f t="shared" si="28"/>
        <v>Ar siekiama, kad pagal priemonę finansuojami projektai apimtų visas VVG teritorijos seniūnijas?</v>
      </c>
      <c r="C1192" s="672" t="str">
        <f>'10'!S38</f>
        <v>Ne</v>
      </c>
    </row>
    <row r="1193" spans="1:3" x14ac:dyDescent="0.3">
      <c r="A1193" s="2" t="s">
        <v>737</v>
      </c>
      <c r="B1193" s="509" t="str">
        <f t="shared" si="28"/>
        <v>Pasirinkimo pagrindimas</v>
      </c>
      <c r="C1193" s="677">
        <f>'10'!S39</f>
        <v>0</v>
      </c>
    </row>
    <row r="1194" spans="1:3" x14ac:dyDescent="0.3">
      <c r="A1194" s="2" t="s">
        <v>738</v>
      </c>
      <c r="B1194" s="680" t="str">
        <f t="shared" si="28"/>
        <v>Partnerystės principas:</v>
      </c>
      <c r="C1194" s="676"/>
    </row>
    <row r="1195" spans="1:3" ht="28.8" x14ac:dyDescent="0.3">
      <c r="A1195" s="2" t="s">
        <v>739</v>
      </c>
      <c r="B1195" s="509" t="str">
        <f t="shared" si="28"/>
        <v>Ar siekiama, kad pagal priemonę finansuojami projektai būtų vykdomi su partneriais?</v>
      </c>
      <c r="C1195" s="672" t="str">
        <f>'10'!S41</f>
        <v>Ne</v>
      </c>
    </row>
    <row r="1196" spans="1:3" x14ac:dyDescent="0.3">
      <c r="A1196" s="2" t="s">
        <v>740</v>
      </c>
      <c r="B1196" s="509" t="str">
        <f t="shared" si="28"/>
        <v>Pasirinkimo pagrindimas</v>
      </c>
      <c r="C1196" s="677">
        <f>'10'!S42</f>
        <v>0</v>
      </c>
    </row>
    <row r="1197" spans="1:3" x14ac:dyDescent="0.3">
      <c r="A1197" s="2" t="s">
        <v>741</v>
      </c>
      <c r="B1197" s="680" t="str">
        <f t="shared" si="28"/>
        <v>Inovacijų principas:</v>
      </c>
      <c r="C1197" s="676"/>
    </row>
    <row r="1198" spans="1:3" ht="28.8" x14ac:dyDescent="0.3">
      <c r="A1198" s="2" t="s">
        <v>742</v>
      </c>
      <c r="B1198" s="509" t="str">
        <f t="shared" si="28"/>
        <v>Ar siekiama, kad pagal priemonę finansuojami projektai būtų skirti inovacijoms vietos lygiu diegti?</v>
      </c>
      <c r="C1198" s="672" t="str">
        <f>'10'!S44</f>
        <v>Ne</v>
      </c>
    </row>
    <row r="1199" spans="1:3" x14ac:dyDescent="0.3">
      <c r="A1199" s="2" t="s">
        <v>743</v>
      </c>
      <c r="B1199" s="509" t="str">
        <f t="shared" si="28"/>
        <v>Pasirinkimo pagrindimas</v>
      </c>
      <c r="C1199" s="677">
        <f>'10'!S45</f>
        <v>0</v>
      </c>
    </row>
    <row r="1200" spans="1:3" ht="28.8" x14ac:dyDescent="0.3">
      <c r="A1200" s="2" t="s">
        <v>744</v>
      </c>
      <c r="B1200" s="509" t="str">
        <f t="shared" si="28"/>
        <v>Planuojama paremti projektų, skirtų inovacijoms vietos lygiu diegti (rodiklis L710)</v>
      </c>
      <c r="C1200" s="679">
        <f>'10'!S46</f>
        <v>0</v>
      </c>
    </row>
    <row r="1201" spans="1:3" x14ac:dyDescent="0.3">
      <c r="A1201" s="2" t="s">
        <v>745</v>
      </c>
      <c r="B1201" s="680" t="str">
        <f t="shared" si="28"/>
        <v>Lyčių lygybė ir nediskriminavimas:</v>
      </c>
      <c r="C1201" s="676"/>
    </row>
    <row r="1202" spans="1:3" ht="28.8" x14ac:dyDescent="0.3">
      <c r="A1202" s="2" t="s">
        <v>746</v>
      </c>
      <c r="B1202" s="509" t="str">
        <f t="shared" si="28"/>
        <v>Ar pagal priemonę finansuojami projektai, skirti lyčių lygybei ir nediskriminavimui?</v>
      </c>
      <c r="C1202" s="672" t="str">
        <f>'10'!S48</f>
        <v>Ne</v>
      </c>
    </row>
    <row r="1203" spans="1:3" x14ac:dyDescent="0.3">
      <c r="A1203" s="2" t="s">
        <v>747</v>
      </c>
      <c r="B1203" s="509" t="str">
        <f t="shared" si="28"/>
        <v>Pasirinkimo pagrindimas (jei taip, kaip bus užtikrinta)</v>
      </c>
      <c r="C1203" s="677">
        <f>'10'!S49</f>
        <v>0</v>
      </c>
    </row>
    <row r="1204" spans="1:3" x14ac:dyDescent="0.3">
      <c r="A1204" s="2" t="s">
        <v>748</v>
      </c>
      <c r="B1204" s="680" t="str">
        <f t="shared" si="28"/>
        <v>Jaunimas:</v>
      </c>
      <c r="C1204" s="676"/>
    </row>
    <row r="1205" spans="1:3" x14ac:dyDescent="0.3">
      <c r="A1205" s="2" t="s">
        <v>749</v>
      </c>
      <c r="B1205" s="509" t="str">
        <f t="shared" si="28"/>
        <v>Ar pagal priemonę finansuojami projektai, skirti jaunimui?</v>
      </c>
      <c r="C1205" s="672" t="str">
        <f>'10'!S51</f>
        <v>Ne</v>
      </c>
    </row>
    <row r="1206" spans="1:3" x14ac:dyDescent="0.3">
      <c r="A1206" s="2" t="s">
        <v>750</v>
      </c>
      <c r="B1206" s="509" t="str">
        <f t="shared" si="28"/>
        <v>Pasirinkimo pagrindimas (jei taip, kaip bus užtikrinta)</v>
      </c>
      <c r="C1206" s="677">
        <f>'10'!S52</f>
        <v>0</v>
      </c>
    </row>
    <row r="1207" spans="1:3" x14ac:dyDescent="0.3">
      <c r="A1207" s="2" t="s">
        <v>751</v>
      </c>
      <c r="B1207" s="675" t="str">
        <f t="shared" si="28"/>
        <v>E dalis. Priemonės rezultato rodikliai:</v>
      </c>
      <c r="C1207" s="676"/>
    </row>
    <row r="1208" spans="1:3" x14ac:dyDescent="0.3">
      <c r="A1208" s="2" t="s">
        <v>752</v>
      </c>
      <c r="B1208" s="680" t="str">
        <f t="shared" si="28"/>
        <v>SP rezultato rodiklių taikymas priemonei:</v>
      </c>
      <c r="C1208" s="676"/>
    </row>
    <row r="1209" spans="1:3" x14ac:dyDescent="0.3">
      <c r="A1209" s="2" t="s">
        <v>753</v>
      </c>
      <c r="B1209" s="681" t="str">
        <f t="shared" si="28"/>
        <v>R.3</v>
      </c>
      <c r="C1209" s="687" t="str">
        <f>'10'!S55</f>
        <v>Ne</v>
      </c>
    </row>
    <row r="1210" spans="1:3" x14ac:dyDescent="0.3">
      <c r="A1210" s="2" t="s">
        <v>754</v>
      </c>
      <c r="B1210" s="681" t="str">
        <f t="shared" si="28"/>
        <v>R.37</v>
      </c>
      <c r="C1210" s="687" t="str">
        <f>'10'!S56</f>
        <v>Ne</v>
      </c>
    </row>
    <row r="1211" spans="1:3" x14ac:dyDescent="0.3">
      <c r="A1211" s="2" t="s">
        <v>755</v>
      </c>
      <c r="B1211" s="681" t="str">
        <f t="shared" si="28"/>
        <v>R.39</v>
      </c>
      <c r="C1211" s="687" t="str">
        <f>'10'!S57</f>
        <v>Ne</v>
      </c>
    </row>
    <row r="1212" spans="1:3" x14ac:dyDescent="0.3">
      <c r="A1212" s="2" t="s">
        <v>756</v>
      </c>
      <c r="B1212" s="681" t="str">
        <f t="shared" si="28"/>
        <v>R.41</v>
      </c>
      <c r="C1212" s="687" t="str">
        <f>'10'!S58</f>
        <v>Ne</v>
      </c>
    </row>
    <row r="1213" spans="1:3" x14ac:dyDescent="0.3">
      <c r="A1213" s="2" t="s">
        <v>757</v>
      </c>
      <c r="B1213" s="681" t="str">
        <f t="shared" si="28"/>
        <v>R.42</v>
      </c>
      <c r="C1213" s="687" t="str">
        <f>'10'!S59</f>
        <v>Ne</v>
      </c>
    </row>
    <row r="1214" spans="1:3" x14ac:dyDescent="0.3">
      <c r="A1214" s="2" t="s">
        <v>758</v>
      </c>
      <c r="B1214" s="680" t="str">
        <f t="shared" si="28"/>
        <v>VPS rodiklių taikymas priemonei:</v>
      </c>
      <c r="C1214" s="688"/>
    </row>
    <row r="1215" spans="1:3" x14ac:dyDescent="0.3">
      <c r="A1215" s="2" t="s">
        <v>759</v>
      </c>
      <c r="B1215" s="681" t="str">
        <f t="shared" si="28"/>
        <v>TRAK-P.1</v>
      </c>
      <c r="C1215" s="687" t="str">
        <f>'10'!S61</f>
        <v>Ne</v>
      </c>
    </row>
    <row r="1216" spans="1:3" x14ac:dyDescent="0.3">
      <c r="A1216" s="2" t="s">
        <v>760</v>
      </c>
      <c r="B1216" s="681" t="str">
        <f t="shared" si="28"/>
        <v>TRAK-P.2</v>
      </c>
      <c r="C1216" s="687" t="str">
        <f>'10'!S62</f>
        <v>Ne</v>
      </c>
    </row>
    <row r="1217" spans="1:3" x14ac:dyDescent="0.3">
      <c r="A1217" s="2" t="s">
        <v>761</v>
      </c>
      <c r="B1217" s="681" t="str">
        <f t="shared" si="28"/>
        <v>TRAK-P.3</v>
      </c>
      <c r="C1217" s="687" t="str">
        <f>'10'!S63</f>
        <v>Ne</v>
      </c>
    </row>
    <row r="1218" spans="1:3" x14ac:dyDescent="0.3">
      <c r="A1218" s="2" t="s">
        <v>762</v>
      </c>
      <c r="B1218" s="681" t="str">
        <f t="shared" si="28"/>
        <v>TRAK-P.4</v>
      </c>
      <c r="C1218" s="687" t="str">
        <f>'10'!S64</f>
        <v>Ne</v>
      </c>
    </row>
    <row r="1219" spans="1:3" x14ac:dyDescent="0.3">
      <c r="A1219" s="2" t="s">
        <v>763</v>
      </c>
      <c r="B1219" s="681" t="str">
        <f t="shared" si="28"/>
        <v>TRAK-P.5</v>
      </c>
      <c r="C1219" s="687" t="str">
        <f>'10'!S65</f>
        <v>Ne</v>
      </c>
    </row>
    <row r="1220" spans="1:3" x14ac:dyDescent="0.3">
      <c r="A1220" s="2" t="s">
        <v>764</v>
      </c>
      <c r="B1220" s="681" t="str">
        <f t="shared" si="28"/>
        <v>TRAK-P.6</v>
      </c>
      <c r="C1220" s="687" t="str">
        <f>'10'!S66</f>
        <v>Ne</v>
      </c>
    </row>
    <row r="1221" spans="1:3" x14ac:dyDescent="0.3">
      <c r="A1221" s="2" t="s">
        <v>765</v>
      </c>
      <c r="B1221" s="681" t="str">
        <f t="shared" si="28"/>
        <v>TRAK-P.7</v>
      </c>
      <c r="C1221" s="687" t="str">
        <f>'10'!S67</f>
        <v>Ne</v>
      </c>
    </row>
    <row r="1222" spans="1:3" x14ac:dyDescent="0.3">
      <c r="A1222" s="2" t="s">
        <v>766</v>
      </c>
      <c r="B1222" s="681" t="str">
        <f t="shared" si="28"/>
        <v>TRAK-P.8</v>
      </c>
      <c r="C1222" s="687" t="str">
        <f>'10'!S68</f>
        <v>Ne</v>
      </c>
    </row>
    <row r="1223" spans="1:3" x14ac:dyDescent="0.3">
      <c r="A1223" s="2" t="s">
        <v>767</v>
      </c>
      <c r="B1223" s="681" t="str">
        <f t="shared" si="28"/>
        <v>TRAK-P.9</v>
      </c>
      <c r="C1223" s="687" t="str">
        <f>'10'!S69</f>
        <v>Ne</v>
      </c>
    </row>
    <row r="1224" spans="1:3" x14ac:dyDescent="0.3">
      <c r="A1224" s="2" t="s">
        <v>768</v>
      </c>
      <c r="B1224" s="683" t="str">
        <f t="shared" si="28"/>
        <v>TRAK-P.10</v>
      </c>
      <c r="C1224" s="689" t="str">
        <f>'10'!S70</f>
        <v>Ne</v>
      </c>
    </row>
    <row r="1225" spans="1:3" x14ac:dyDescent="0.3">
      <c r="A1225" s="2" t="s">
        <v>769</v>
      </c>
      <c r="B1225" s="675" t="str">
        <f t="shared" si="28"/>
        <v>F dalis. Pagal priemonę remiamų projektų pobūdis:</v>
      </c>
      <c r="C1225" s="676"/>
    </row>
    <row r="1226" spans="1:3" x14ac:dyDescent="0.3">
      <c r="A1226" s="2" t="s">
        <v>770</v>
      </c>
      <c r="B1226" s="671" t="str">
        <f t="shared" ref="B1226:B1235" si="29">B1149</f>
        <v>Remiami pelno projektai</v>
      </c>
      <c r="C1226" s="672" t="str">
        <f>'10'!S72</f>
        <v>Ne</v>
      </c>
    </row>
    <row r="1227" spans="1:3" ht="57.6" x14ac:dyDescent="0.3">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57.6" x14ac:dyDescent="0.3">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3.2" x14ac:dyDescent="0.3">
      <c r="A1229" s="2" t="s">
        <v>773</v>
      </c>
      <c r="B1229" s="673" t="str">
        <f t="shared" si="29"/>
        <v>Remiami projektai, susiję su atsinaujinančios energijos gamybos pajėgumais, įskaitant biologinę (aktualu rodikliui L803)</v>
      </c>
      <c r="C1229" s="672" t="str">
        <f>'10'!S75</f>
        <v>Ne</v>
      </c>
    </row>
    <row r="1230" spans="1:3" ht="43.2" x14ac:dyDescent="0.3">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28.8" x14ac:dyDescent="0.3">
      <c r="A1231" s="2" t="s">
        <v>775</v>
      </c>
      <c r="B1231" s="673" t="str">
        <f t="shared" si="29"/>
        <v>Remiami projektai, kurie kuria darbo vietas (aktualu rodikliui L805)</v>
      </c>
      <c r="C1231" s="672" t="str">
        <f>'10'!S77</f>
        <v>Ne</v>
      </c>
    </row>
    <row r="1232" spans="1:3" ht="28.8" x14ac:dyDescent="0.3">
      <c r="A1232" s="2" t="s">
        <v>776</v>
      </c>
      <c r="B1232" s="673" t="str">
        <f t="shared" si="29"/>
        <v>Remiami kaimo verslų, įskaitant bioekonomiką, projektai (aktualu rodikliui L 806)</v>
      </c>
      <c r="C1232" s="672" t="str">
        <f>'10'!S78</f>
        <v>Ne</v>
      </c>
    </row>
    <row r="1233" spans="1:3" ht="28.8" x14ac:dyDescent="0.3">
      <c r="A1233" s="2" t="s">
        <v>777</v>
      </c>
      <c r="B1233" s="673" t="str">
        <f t="shared" si="29"/>
        <v>Remiami projektai, susiję su sumanių kaimų strategijomis (aktualu rodikliui L807)</v>
      </c>
      <c r="C1233" s="672" t="str">
        <f>'10'!S79</f>
        <v>Ne</v>
      </c>
    </row>
    <row r="1234" spans="1:3" ht="28.8" x14ac:dyDescent="0.3">
      <c r="A1234" s="2" t="s">
        <v>778</v>
      </c>
      <c r="B1234" s="673" t="str">
        <f t="shared" si="29"/>
        <v>Remiami projektai, gerinantys paslaugų prieinamumą ir infrastruktūrą (aktualu rodikliui L808)</v>
      </c>
      <c r="C1234" s="672" t="str">
        <f>'10'!S80</f>
        <v>Ne</v>
      </c>
    </row>
    <row r="1235" spans="1:3" ht="28.8" x14ac:dyDescent="0.3">
      <c r="A1235" s="2" t="s">
        <v>779</v>
      </c>
      <c r="B1235" s="673" t="str">
        <f t="shared" si="29"/>
        <v>Remiami socialinės įtraukties projektai (aktualu rodikliui L809)</v>
      </c>
      <c r="C1235" s="672" t="str">
        <f>'10'!S81</f>
        <v>Ne</v>
      </c>
    </row>
    <row r="1236" spans="1:3" x14ac:dyDescent="0.3">
      <c r="B1236" s="649"/>
      <c r="C1236" s="685"/>
    </row>
    <row r="1237" spans="1:3" x14ac:dyDescent="0.3">
      <c r="A1237" s="1"/>
      <c r="B1237" s="362"/>
      <c r="C1237" s="686" t="str">
        <f>'10'!T6</f>
        <v>17 priemonė</v>
      </c>
    </row>
    <row r="1238" spans="1:3" x14ac:dyDescent="0.3">
      <c r="A1238" s="2" t="s">
        <v>188</v>
      </c>
      <c r="B1238" s="509" t="str">
        <f>B1161</f>
        <v>Priemonės pavadinimas</v>
      </c>
      <c r="C1238" s="670">
        <f>'10'!T7</f>
        <v>0</v>
      </c>
    </row>
    <row r="1239" spans="1:3" x14ac:dyDescent="0.3">
      <c r="A1239" s="2" t="s">
        <v>189</v>
      </c>
      <c r="B1239" s="671" t="str">
        <f t="shared" ref="B1239:B1302" si="30">B1162</f>
        <v>Priemonės rūšis</v>
      </c>
      <c r="C1239" s="670">
        <f>'10'!T8</f>
        <v>0</v>
      </c>
    </row>
    <row r="1240" spans="1:3" x14ac:dyDescent="0.3">
      <c r="A1240" s="2" t="s">
        <v>190</v>
      </c>
      <c r="B1240" s="671" t="str">
        <f t="shared" si="30"/>
        <v>VVG teritorijos poreikių, kuriuos tenkina priemonė, skaičius</v>
      </c>
      <c r="C1240" s="670">
        <f>'10'!T9</f>
        <v>0</v>
      </c>
    </row>
    <row r="1241" spans="1:3" x14ac:dyDescent="0.3">
      <c r="A1241" s="2" t="s">
        <v>191</v>
      </c>
      <c r="B1241" s="671" t="str">
        <f t="shared" si="30"/>
        <v>BŽŪP tikslų, kuriuos įgyvendina priemonė, skaičius</v>
      </c>
      <c r="C1241" s="670">
        <f>'10'!T10</f>
        <v>0</v>
      </c>
    </row>
    <row r="1242" spans="1:3" x14ac:dyDescent="0.3">
      <c r="A1242" s="2" t="s">
        <v>192</v>
      </c>
      <c r="B1242" s="671" t="str">
        <f t="shared" si="30"/>
        <v>Pagrindinis BŽŪP tikslas, kurį įgyvendina VPS priemonė</v>
      </c>
      <c r="C1242" s="672" t="str">
        <f>'10'!T11</f>
        <v>Pasirinkite</v>
      </c>
    </row>
    <row r="1243" spans="1:3" ht="28.8" x14ac:dyDescent="0.3">
      <c r="A1243" s="2" t="s">
        <v>193</v>
      </c>
      <c r="B1243" s="673" t="str">
        <f t="shared" si="30"/>
        <v>Ar priemonė prisideda prie 4 konkretaus BŽŪP tikslo? (tikslas nurodytas 5 lape)</v>
      </c>
      <c r="C1243" s="672" t="str">
        <f>'10'!T12</f>
        <v>Ne</v>
      </c>
    </row>
    <row r="1244" spans="1:3" ht="28.8" x14ac:dyDescent="0.3">
      <c r="A1244" s="2" t="s">
        <v>194</v>
      </c>
      <c r="B1244" s="673" t="str">
        <f t="shared" si="30"/>
        <v>Ar priemonė prisideda prie 5 konkretaus BŽŪP tikslo? (tikslas nurodytas 5 lape)</v>
      </c>
      <c r="C1244" s="672" t="str">
        <f>'10'!T13</f>
        <v>Ne</v>
      </c>
    </row>
    <row r="1245" spans="1:3" ht="28.8" x14ac:dyDescent="0.3">
      <c r="A1245" s="2" t="s">
        <v>195</v>
      </c>
      <c r="B1245" s="673" t="str">
        <f t="shared" si="30"/>
        <v>Ar priemonė prisideda prie 6 konkretaus BŽŪP tikslo? (tikslas nurodytas 5 lape)</v>
      </c>
      <c r="C1245" s="672" t="str">
        <f>'10'!T14</f>
        <v>Ne</v>
      </c>
    </row>
    <row r="1246" spans="1:3" ht="28.8" x14ac:dyDescent="0.3">
      <c r="A1246" s="2" t="s">
        <v>196</v>
      </c>
      <c r="B1246" s="673" t="str">
        <f t="shared" si="30"/>
        <v>Ar priemonė prisideda prie 9 konkretaus BŽŪP tikslo? (tikslas nurodytas 5 lape)</v>
      </c>
      <c r="C1246" s="672" t="str">
        <f>'10'!T15</f>
        <v>Ne</v>
      </c>
    </row>
    <row r="1247" spans="1:3" x14ac:dyDescent="0.3">
      <c r="A1247" s="2" t="s">
        <v>94</v>
      </c>
      <c r="B1247" s="675" t="str">
        <f t="shared" si="30"/>
        <v>A dalis. Priemonės intervencijos logika:</v>
      </c>
      <c r="C1247" s="676"/>
    </row>
    <row r="1248" spans="1:3" ht="43.2" x14ac:dyDescent="0.3">
      <c r="A1248" s="2" t="s">
        <v>197</v>
      </c>
      <c r="B1248" s="673" t="str">
        <f t="shared" si="30"/>
        <v>Priemonės tikslas, ryšys su pagrindiniu BŽŪP tikslu ir VVG teritorijos poreikiais (problemomis ir (arba) potencialu), ryšys su VPS tema (jei taikoma)</v>
      </c>
      <c r="C1248" s="677">
        <f>'10'!T17</f>
        <v>0</v>
      </c>
    </row>
    <row r="1249" spans="1:3" x14ac:dyDescent="0.3">
      <c r="A1249" s="2" t="s">
        <v>198</v>
      </c>
      <c r="B1249" s="671" t="str">
        <f t="shared" si="30"/>
        <v>Pokytis, kurio siekiama VPS priemone</v>
      </c>
      <c r="C1249" s="677">
        <f>'10'!T18</f>
        <v>0</v>
      </c>
    </row>
    <row r="1250" spans="1:3" ht="28.8" x14ac:dyDescent="0.3">
      <c r="A1250" s="2" t="s">
        <v>199</v>
      </c>
      <c r="B1250" s="509" t="str">
        <f t="shared" si="30"/>
        <v>Kaip priemonė prisidės prie horizontalaus tikslo d įgyvendinimo? (pildoma, jei taikoma)</v>
      </c>
      <c r="C1250" s="677">
        <f>'10'!T19</f>
        <v>0</v>
      </c>
    </row>
    <row r="1251" spans="1:3" ht="28.8" x14ac:dyDescent="0.3">
      <c r="A1251" s="2" t="s">
        <v>200</v>
      </c>
      <c r="B1251" s="509" t="str">
        <f t="shared" si="30"/>
        <v>Kaip priemonė prisidės prie horizontalaus tikslo e įgyvendinimo? (pildoma, jei taikoma)</v>
      </c>
      <c r="C1251" s="677">
        <f>'10'!T20</f>
        <v>0</v>
      </c>
    </row>
    <row r="1252" spans="1:3" ht="28.8" x14ac:dyDescent="0.3">
      <c r="A1252" s="2" t="s">
        <v>201</v>
      </c>
      <c r="B1252" s="509" t="str">
        <f t="shared" si="30"/>
        <v>Kaip priemonė prisidės prie horizontalaus tikslo f įgyvendinimo? (pildoma, jei taikoma)</v>
      </c>
      <c r="C1252" s="677">
        <f>'10'!T21</f>
        <v>0</v>
      </c>
    </row>
    <row r="1253" spans="1:3" ht="28.8" x14ac:dyDescent="0.3">
      <c r="A1253" s="2" t="s">
        <v>202</v>
      </c>
      <c r="B1253" s="509" t="str">
        <f t="shared" si="30"/>
        <v>Kaip priemonė prisidės prie horizontalaus tikslo i įgyvendinimo? (pildoma, jei taikoma)</v>
      </c>
      <c r="C1253" s="677">
        <f>'10'!T22</f>
        <v>0</v>
      </c>
    </row>
    <row r="1254" spans="1:3" ht="28.8" x14ac:dyDescent="0.3">
      <c r="A1254" s="2" t="s">
        <v>203</v>
      </c>
      <c r="B1254" s="675" t="str">
        <f t="shared" si="30"/>
        <v>B dalis. Pareiškėjų ir projektų tinkamumo sąlygos, projektų atrankos principai:</v>
      </c>
      <c r="C1254" s="676"/>
    </row>
    <row r="1255" spans="1:3" x14ac:dyDescent="0.3">
      <c r="A1255" s="2" t="s">
        <v>204</v>
      </c>
      <c r="B1255" s="509" t="str">
        <f t="shared" si="30"/>
        <v>Pagal priemonę remiamos veiklos</v>
      </c>
      <c r="C1255" s="677">
        <f>'10'!T24</f>
        <v>0</v>
      </c>
    </row>
    <row r="1256" spans="1:3" ht="28.8" x14ac:dyDescent="0.3">
      <c r="A1256" s="2" t="s">
        <v>205</v>
      </c>
      <c r="B1256" s="671" t="str">
        <f t="shared" si="30"/>
        <v>Tinkami pareiškėjai ir partneriai (jei taikomas reikalavimas projektus įgyvendinti su partneriais)</v>
      </c>
      <c r="C1256" s="677">
        <f>'10'!T25</f>
        <v>0</v>
      </c>
    </row>
    <row r="1257" spans="1:3" ht="28.8" x14ac:dyDescent="0.3">
      <c r="A1257" s="2" t="s">
        <v>206</v>
      </c>
      <c r="B1257" s="671" t="str">
        <f t="shared" si="30"/>
        <v>Priemonės tikslinė grupė (pildoma, jei nesutampa su tinkamais pareiškėjais ir (arba) partneriais)</v>
      </c>
      <c r="C1257" s="677">
        <f>'10'!T26</f>
        <v>0</v>
      </c>
    </row>
    <row r="1258" spans="1:3" x14ac:dyDescent="0.3">
      <c r="A1258" s="2" t="s">
        <v>725</v>
      </c>
      <c r="B1258" s="509" t="str">
        <f t="shared" si="30"/>
        <v>Tinkamumo sąlygos pareiškėjams ir projektams</v>
      </c>
      <c r="C1258" s="677">
        <f>'10'!T27</f>
        <v>0</v>
      </c>
    </row>
    <row r="1259" spans="1:3" x14ac:dyDescent="0.3">
      <c r="A1259" s="2" t="s">
        <v>726</v>
      </c>
      <c r="B1259" s="673" t="str">
        <f t="shared" si="30"/>
        <v>Projektų atrankos principai</v>
      </c>
      <c r="C1259" s="677">
        <f>'10'!T28</f>
        <v>0</v>
      </c>
    </row>
    <row r="1260" spans="1:3" x14ac:dyDescent="0.3">
      <c r="A1260" s="2" t="s">
        <v>727</v>
      </c>
      <c r="B1260" s="509" t="str">
        <f t="shared" si="30"/>
        <v>Planuojamų kvietimų teikti paraiškas skaičius</v>
      </c>
      <c r="C1260" s="670">
        <f>'10'!T29</f>
        <v>0</v>
      </c>
    </row>
    <row r="1261" spans="1:3" x14ac:dyDescent="0.3">
      <c r="A1261" s="2" t="s">
        <v>728</v>
      </c>
      <c r="B1261" s="651" t="str">
        <f t="shared" si="30"/>
        <v>C dalis. Paramos dydžiai:</v>
      </c>
      <c r="C1261" s="676"/>
    </row>
    <row r="1262" spans="1:3" x14ac:dyDescent="0.3">
      <c r="A1262" s="2" t="s">
        <v>729</v>
      </c>
      <c r="B1262" s="509" t="str">
        <f t="shared" si="30"/>
        <v>Didžiausia paramos suma vietos projektui, Eur</v>
      </c>
      <c r="C1262" s="677">
        <f>'10'!T31</f>
        <v>0</v>
      </c>
    </row>
    <row r="1263" spans="1:3" x14ac:dyDescent="0.3">
      <c r="A1263" s="2" t="s">
        <v>730</v>
      </c>
      <c r="B1263" s="509" t="str">
        <f t="shared" si="30"/>
        <v xml:space="preserve">Paramos lyginamoji dalis, proc. </v>
      </c>
      <c r="C1263" s="677">
        <f>'10'!T32</f>
        <v>0</v>
      </c>
    </row>
    <row r="1264" spans="1:3" x14ac:dyDescent="0.3">
      <c r="A1264" s="2" t="s">
        <v>731</v>
      </c>
      <c r="B1264" s="509" t="str">
        <f t="shared" si="30"/>
        <v>Planuojama paramos suma priemonei, Eur</v>
      </c>
      <c r="C1264" s="678">
        <f>'10'!T33</f>
        <v>0</v>
      </c>
    </row>
    <row r="1265" spans="1:3" x14ac:dyDescent="0.3">
      <c r="A1265" s="2" t="s">
        <v>732</v>
      </c>
      <c r="B1265" s="509" t="str">
        <f t="shared" si="30"/>
        <v>Planuojama paremti projektų (rodiklis L700)</v>
      </c>
      <c r="C1265" s="679">
        <f>'10'!T34</f>
        <v>0</v>
      </c>
    </row>
    <row r="1266" spans="1:3" x14ac:dyDescent="0.3">
      <c r="A1266" s="2" t="s">
        <v>733</v>
      </c>
      <c r="B1266" s="509" t="str">
        <f t="shared" si="30"/>
        <v>Paaiškinimas, kaip nustatyta rodiklio L700 reikšmė</v>
      </c>
      <c r="C1266" s="677">
        <f>'10'!T35</f>
        <v>0</v>
      </c>
    </row>
    <row r="1267" spans="1:3" ht="28.8" x14ac:dyDescent="0.3">
      <c r="A1267" s="2" t="s">
        <v>734</v>
      </c>
      <c r="B1267" s="651" t="str">
        <f t="shared" si="30"/>
        <v>D dalis. Priemonės indėlis į ES ir nacionalinių horizontaliųjų principų įgyvendinimą:</v>
      </c>
      <c r="C1267" s="676"/>
    </row>
    <row r="1268" spans="1:3" x14ac:dyDescent="0.3">
      <c r="A1268" s="2" t="s">
        <v>735</v>
      </c>
      <c r="B1268" s="680" t="str">
        <f t="shared" si="30"/>
        <v>Subregioninės vietovės principas:</v>
      </c>
      <c r="C1268" s="676"/>
    </row>
    <row r="1269" spans="1:3" ht="28.8" x14ac:dyDescent="0.3">
      <c r="A1269" s="2" t="s">
        <v>736</v>
      </c>
      <c r="B1269" s="509" t="str">
        <f t="shared" si="30"/>
        <v>Ar siekiama, kad pagal priemonę finansuojami projektai apimtų visas VVG teritorijos seniūnijas?</v>
      </c>
      <c r="C1269" s="672" t="str">
        <f>'10'!T38</f>
        <v>Ne</v>
      </c>
    </row>
    <row r="1270" spans="1:3" x14ac:dyDescent="0.3">
      <c r="A1270" s="2" t="s">
        <v>737</v>
      </c>
      <c r="B1270" s="509" t="str">
        <f t="shared" si="30"/>
        <v>Pasirinkimo pagrindimas</v>
      </c>
      <c r="C1270" s="677">
        <f>'10'!T39</f>
        <v>0</v>
      </c>
    </row>
    <row r="1271" spans="1:3" x14ac:dyDescent="0.3">
      <c r="A1271" s="2" t="s">
        <v>738</v>
      </c>
      <c r="B1271" s="680" t="str">
        <f t="shared" si="30"/>
        <v>Partnerystės principas:</v>
      </c>
      <c r="C1271" s="676"/>
    </row>
    <row r="1272" spans="1:3" ht="28.8" x14ac:dyDescent="0.3">
      <c r="A1272" s="2" t="s">
        <v>739</v>
      </c>
      <c r="B1272" s="509" t="str">
        <f t="shared" si="30"/>
        <v>Ar siekiama, kad pagal priemonę finansuojami projektai būtų vykdomi su partneriais?</v>
      </c>
      <c r="C1272" s="672" t="str">
        <f>'10'!T41</f>
        <v>Ne</v>
      </c>
    </row>
    <row r="1273" spans="1:3" x14ac:dyDescent="0.3">
      <c r="A1273" s="2" t="s">
        <v>740</v>
      </c>
      <c r="B1273" s="509" t="str">
        <f t="shared" si="30"/>
        <v>Pasirinkimo pagrindimas</v>
      </c>
      <c r="C1273" s="677">
        <f>'10'!T42</f>
        <v>0</v>
      </c>
    </row>
    <row r="1274" spans="1:3" x14ac:dyDescent="0.3">
      <c r="A1274" s="2" t="s">
        <v>741</v>
      </c>
      <c r="B1274" s="680" t="str">
        <f t="shared" si="30"/>
        <v>Inovacijų principas:</v>
      </c>
      <c r="C1274" s="676"/>
    </row>
    <row r="1275" spans="1:3" ht="28.8" x14ac:dyDescent="0.3">
      <c r="A1275" s="2" t="s">
        <v>742</v>
      </c>
      <c r="B1275" s="509" t="str">
        <f t="shared" si="30"/>
        <v>Ar siekiama, kad pagal priemonę finansuojami projektai būtų skirti inovacijoms vietos lygiu diegti?</v>
      </c>
      <c r="C1275" s="672" t="str">
        <f>'10'!T44</f>
        <v>Ne</v>
      </c>
    </row>
    <row r="1276" spans="1:3" x14ac:dyDescent="0.3">
      <c r="A1276" s="2" t="s">
        <v>743</v>
      </c>
      <c r="B1276" s="509" t="str">
        <f t="shared" si="30"/>
        <v>Pasirinkimo pagrindimas</v>
      </c>
      <c r="C1276" s="677">
        <f>'10'!T45</f>
        <v>0</v>
      </c>
    </row>
    <row r="1277" spans="1:3" ht="28.8" x14ac:dyDescent="0.3">
      <c r="A1277" s="2" t="s">
        <v>744</v>
      </c>
      <c r="B1277" s="509" t="str">
        <f t="shared" si="30"/>
        <v>Planuojama paremti projektų, skirtų inovacijoms vietos lygiu diegti (rodiklis L710)</v>
      </c>
      <c r="C1277" s="679">
        <f>'10'!T46</f>
        <v>0</v>
      </c>
    </row>
    <row r="1278" spans="1:3" x14ac:dyDescent="0.3">
      <c r="A1278" s="2" t="s">
        <v>745</v>
      </c>
      <c r="B1278" s="680" t="str">
        <f t="shared" si="30"/>
        <v>Lyčių lygybė ir nediskriminavimas:</v>
      </c>
      <c r="C1278" s="676"/>
    </row>
    <row r="1279" spans="1:3" ht="28.8" x14ac:dyDescent="0.3">
      <c r="A1279" s="2" t="s">
        <v>746</v>
      </c>
      <c r="B1279" s="509" t="str">
        <f t="shared" si="30"/>
        <v>Ar pagal priemonę finansuojami projektai, skirti lyčių lygybei ir nediskriminavimui?</v>
      </c>
      <c r="C1279" s="672" t="str">
        <f>'10'!T48</f>
        <v>Ne</v>
      </c>
    </row>
    <row r="1280" spans="1:3" x14ac:dyDescent="0.3">
      <c r="A1280" s="2" t="s">
        <v>747</v>
      </c>
      <c r="B1280" s="509" t="str">
        <f t="shared" si="30"/>
        <v>Pasirinkimo pagrindimas (jei taip, kaip bus užtikrinta)</v>
      </c>
      <c r="C1280" s="677">
        <f>'10'!T49</f>
        <v>0</v>
      </c>
    </row>
    <row r="1281" spans="1:3" x14ac:dyDescent="0.3">
      <c r="A1281" s="2" t="s">
        <v>748</v>
      </c>
      <c r="B1281" s="680" t="str">
        <f t="shared" si="30"/>
        <v>Jaunimas:</v>
      </c>
      <c r="C1281" s="676"/>
    </row>
    <row r="1282" spans="1:3" x14ac:dyDescent="0.3">
      <c r="A1282" s="2" t="s">
        <v>749</v>
      </c>
      <c r="B1282" s="509" t="str">
        <f t="shared" si="30"/>
        <v>Ar pagal priemonę finansuojami projektai, skirti jaunimui?</v>
      </c>
      <c r="C1282" s="672" t="str">
        <f>'10'!T51</f>
        <v>Ne</v>
      </c>
    </row>
    <row r="1283" spans="1:3" x14ac:dyDescent="0.3">
      <c r="A1283" s="2" t="s">
        <v>750</v>
      </c>
      <c r="B1283" s="509" t="str">
        <f t="shared" si="30"/>
        <v>Pasirinkimo pagrindimas (jei taip, kaip bus užtikrinta)</v>
      </c>
      <c r="C1283" s="677">
        <f>'10'!T52</f>
        <v>0</v>
      </c>
    </row>
    <row r="1284" spans="1:3" x14ac:dyDescent="0.3">
      <c r="A1284" s="2" t="s">
        <v>751</v>
      </c>
      <c r="B1284" s="675" t="str">
        <f t="shared" si="30"/>
        <v>E dalis. Priemonės rezultato rodikliai:</v>
      </c>
      <c r="C1284" s="676"/>
    </row>
    <row r="1285" spans="1:3" x14ac:dyDescent="0.3">
      <c r="A1285" s="2" t="s">
        <v>752</v>
      </c>
      <c r="B1285" s="680" t="str">
        <f t="shared" si="30"/>
        <v>SP rezultato rodiklių taikymas priemonei:</v>
      </c>
      <c r="C1285" s="676"/>
    </row>
    <row r="1286" spans="1:3" x14ac:dyDescent="0.3">
      <c r="A1286" s="2" t="s">
        <v>753</v>
      </c>
      <c r="B1286" s="681" t="str">
        <f t="shared" si="30"/>
        <v>R.3</v>
      </c>
      <c r="C1286" s="687" t="str">
        <f>'10'!T55</f>
        <v>Ne</v>
      </c>
    </row>
    <row r="1287" spans="1:3" x14ac:dyDescent="0.3">
      <c r="A1287" s="2" t="s">
        <v>754</v>
      </c>
      <c r="B1287" s="681" t="str">
        <f t="shared" si="30"/>
        <v>R.37</v>
      </c>
      <c r="C1287" s="687" t="str">
        <f>'10'!T56</f>
        <v>Ne</v>
      </c>
    </row>
    <row r="1288" spans="1:3" x14ac:dyDescent="0.3">
      <c r="A1288" s="2" t="s">
        <v>755</v>
      </c>
      <c r="B1288" s="681" t="str">
        <f t="shared" si="30"/>
        <v>R.39</v>
      </c>
      <c r="C1288" s="687" t="str">
        <f>'10'!T57</f>
        <v>Ne</v>
      </c>
    </row>
    <row r="1289" spans="1:3" x14ac:dyDescent="0.3">
      <c r="A1289" s="2" t="s">
        <v>756</v>
      </c>
      <c r="B1289" s="681" t="str">
        <f t="shared" si="30"/>
        <v>R.41</v>
      </c>
      <c r="C1289" s="687" t="str">
        <f>'10'!T58</f>
        <v>Ne</v>
      </c>
    </row>
    <row r="1290" spans="1:3" x14ac:dyDescent="0.3">
      <c r="A1290" s="2" t="s">
        <v>757</v>
      </c>
      <c r="B1290" s="681" t="str">
        <f t="shared" si="30"/>
        <v>R.42</v>
      </c>
      <c r="C1290" s="687" t="str">
        <f>'10'!T59</f>
        <v>Ne</v>
      </c>
    </row>
    <row r="1291" spans="1:3" x14ac:dyDescent="0.3">
      <c r="A1291" s="2" t="s">
        <v>758</v>
      </c>
      <c r="B1291" s="680" t="str">
        <f t="shared" si="30"/>
        <v>VPS rodiklių taikymas priemonei:</v>
      </c>
      <c r="C1291" s="688"/>
    </row>
    <row r="1292" spans="1:3" x14ac:dyDescent="0.3">
      <c r="A1292" s="2" t="s">
        <v>759</v>
      </c>
      <c r="B1292" s="681" t="str">
        <f t="shared" si="30"/>
        <v>TRAK-P.1</v>
      </c>
      <c r="C1292" s="687" t="str">
        <f>'10'!T61</f>
        <v>Ne</v>
      </c>
    </row>
    <row r="1293" spans="1:3" x14ac:dyDescent="0.3">
      <c r="A1293" s="2" t="s">
        <v>760</v>
      </c>
      <c r="B1293" s="681" t="str">
        <f t="shared" si="30"/>
        <v>TRAK-P.2</v>
      </c>
      <c r="C1293" s="687" t="str">
        <f>'10'!T62</f>
        <v>Ne</v>
      </c>
    </row>
    <row r="1294" spans="1:3" x14ac:dyDescent="0.3">
      <c r="A1294" s="2" t="s">
        <v>761</v>
      </c>
      <c r="B1294" s="681" t="str">
        <f t="shared" si="30"/>
        <v>TRAK-P.3</v>
      </c>
      <c r="C1294" s="687" t="str">
        <f>'10'!T63</f>
        <v>Ne</v>
      </c>
    </row>
    <row r="1295" spans="1:3" x14ac:dyDescent="0.3">
      <c r="A1295" s="2" t="s">
        <v>762</v>
      </c>
      <c r="B1295" s="681" t="str">
        <f t="shared" si="30"/>
        <v>TRAK-P.4</v>
      </c>
      <c r="C1295" s="687" t="str">
        <f>'10'!T64</f>
        <v>Ne</v>
      </c>
    </row>
    <row r="1296" spans="1:3" x14ac:dyDescent="0.3">
      <c r="A1296" s="2" t="s">
        <v>763</v>
      </c>
      <c r="B1296" s="681" t="str">
        <f t="shared" si="30"/>
        <v>TRAK-P.5</v>
      </c>
      <c r="C1296" s="687" t="str">
        <f>'10'!T65</f>
        <v>Ne</v>
      </c>
    </row>
    <row r="1297" spans="1:3" x14ac:dyDescent="0.3">
      <c r="A1297" s="2" t="s">
        <v>764</v>
      </c>
      <c r="B1297" s="681" t="str">
        <f t="shared" si="30"/>
        <v>TRAK-P.6</v>
      </c>
      <c r="C1297" s="687" t="str">
        <f>'10'!T66</f>
        <v>Ne</v>
      </c>
    </row>
    <row r="1298" spans="1:3" x14ac:dyDescent="0.3">
      <c r="A1298" s="2" t="s">
        <v>765</v>
      </c>
      <c r="B1298" s="681" t="str">
        <f t="shared" si="30"/>
        <v>TRAK-P.7</v>
      </c>
      <c r="C1298" s="687" t="str">
        <f>'10'!T67</f>
        <v>Ne</v>
      </c>
    </row>
    <row r="1299" spans="1:3" x14ac:dyDescent="0.3">
      <c r="A1299" s="2" t="s">
        <v>766</v>
      </c>
      <c r="B1299" s="681" t="str">
        <f t="shared" si="30"/>
        <v>TRAK-P.8</v>
      </c>
      <c r="C1299" s="687" t="str">
        <f>'10'!T68</f>
        <v>Ne</v>
      </c>
    </row>
    <row r="1300" spans="1:3" x14ac:dyDescent="0.3">
      <c r="A1300" s="2" t="s">
        <v>767</v>
      </c>
      <c r="B1300" s="681" t="str">
        <f t="shared" si="30"/>
        <v>TRAK-P.9</v>
      </c>
      <c r="C1300" s="687" t="str">
        <f>'10'!T69</f>
        <v>Ne</v>
      </c>
    </row>
    <row r="1301" spans="1:3" x14ac:dyDescent="0.3">
      <c r="A1301" s="2" t="s">
        <v>768</v>
      </c>
      <c r="B1301" s="683" t="str">
        <f t="shared" si="30"/>
        <v>TRAK-P.10</v>
      </c>
      <c r="C1301" s="689" t="str">
        <f>'10'!T70</f>
        <v>Ne</v>
      </c>
    </row>
    <row r="1302" spans="1:3" x14ac:dyDescent="0.3">
      <c r="A1302" s="2" t="s">
        <v>769</v>
      </c>
      <c r="B1302" s="675" t="str">
        <f t="shared" si="30"/>
        <v>F dalis. Pagal priemonę remiamų projektų pobūdis:</v>
      </c>
      <c r="C1302" s="676"/>
    </row>
    <row r="1303" spans="1:3" x14ac:dyDescent="0.3">
      <c r="A1303" s="2" t="s">
        <v>770</v>
      </c>
      <c r="B1303" s="671" t="str">
        <f t="shared" ref="B1303:B1312" si="31">B1226</f>
        <v>Remiami pelno projektai</v>
      </c>
      <c r="C1303" s="672" t="str">
        <f>'10'!T72</f>
        <v>Ne</v>
      </c>
    </row>
    <row r="1304" spans="1:3" ht="57.6" x14ac:dyDescent="0.3">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57.6" x14ac:dyDescent="0.3">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3.2" x14ac:dyDescent="0.3">
      <c r="A1306" s="2" t="s">
        <v>773</v>
      </c>
      <c r="B1306" s="673" t="str">
        <f t="shared" si="31"/>
        <v>Remiami projektai, susiję su atsinaujinančios energijos gamybos pajėgumais, įskaitant biologinę (aktualu rodikliui L803)</v>
      </c>
      <c r="C1306" s="672" t="str">
        <f>'10'!T75</f>
        <v>Ne</v>
      </c>
    </row>
    <row r="1307" spans="1:3" ht="43.2" x14ac:dyDescent="0.3">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28.8" x14ac:dyDescent="0.3">
      <c r="A1308" s="2" t="s">
        <v>775</v>
      </c>
      <c r="B1308" s="673" t="str">
        <f t="shared" si="31"/>
        <v>Remiami projektai, kurie kuria darbo vietas (aktualu rodikliui L805)</v>
      </c>
      <c r="C1308" s="672" t="str">
        <f>'10'!T77</f>
        <v>Ne</v>
      </c>
    </row>
    <row r="1309" spans="1:3" ht="28.8" x14ac:dyDescent="0.3">
      <c r="A1309" s="2" t="s">
        <v>776</v>
      </c>
      <c r="B1309" s="673" t="str">
        <f t="shared" si="31"/>
        <v>Remiami kaimo verslų, įskaitant bioekonomiką, projektai (aktualu rodikliui L 806)</v>
      </c>
      <c r="C1309" s="672" t="str">
        <f>'10'!T78</f>
        <v>Ne</v>
      </c>
    </row>
    <row r="1310" spans="1:3" ht="28.8" x14ac:dyDescent="0.3">
      <c r="A1310" s="2" t="s">
        <v>777</v>
      </c>
      <c r="B1310" s="673" t="str">
        <f t="shared" si="31"/>
        <v>Remiami projektai, susiję su sumanių kaimų strategijomis (aktualu rodikliui L807)</v>
      </c>
      <c r="C1310" s="672" t="str">
        <f>'10'!T79</f>
        <v>Ne</v>
      </c>
    </row>
    <row r="1311" spans="1:3" ht="28.8" x14ac:dyDescent="0.3">
      <c r="A1311" s="2" t="s">
        <v>778</v>
      </c>
      <c r="B1311" s="673" t="str">
        <f t="shared" si="31"/>
        <v>Remiami projektai, gerinantys paslaugų prieinamumą ir infrastruktūrą (aktualu rodikliui L808)</v>
      </c>
      <c r="C1311" s="672" t="str">
        <f>'10'!T80</f>
        <v>Ne</v>
      </c>
    </row>
    <row r="1312" spans="1:3" ht="28.8" x14ac:dyDescent="0.3">
      <c r="A1312" s="2" t="s">
        <v>779</v>
      </c>
      <c r="B1312" s="673" t="str">
        <f t="shared" si="31"/>
        <v>Remiami socialinės įtraukties projektai (aktualu rodikliui L809)</v>
      </c>
      <c r="C1312" s="672" t="str">
        <f>'10'!T81</f>
        <v>Ne</v>
      </c>
    </row>
    <row r="1313" spans="1:3" x14ac:dyDescent="0.3">
      <c r="B1313" s="649"/>
      <c r="C1313" s="685"/>
    </row>
    <row r="1314" spans="1:3" x14ac:dyDescent="0.3">
      <c r="A1314" s="1"/>
      <c r="B1314" s="362"/>
      <c r="C1314" s="686" t="str">
        <f>'10'!U6</f>
        <v>18 priemonė</v>
      </c>
    </row>
    <row r="1315" spans="1:3" x14ac:dyDescent="0.3">
      <c r="A1315" s="2" t="s">
        <v>188</v>
      </c>
      <c r="B1315" s="509" t="str">
        <f>B1238</f>
        <v>Priemonės pavadinimas</v>
      </c>
      <c r="C1315" s="670">
        <f>'10'!U7</f>
        <v>0</v>
      </c>
    </row>
    <row r="1316" spans="1:3" x14ac:dyDescent="0.3">
      <c r="A1316" s="2" t="s">
        <v>189</v>
      </c>
      <c r="B1316" s="671" t="str">
        <f t="shared" ref="B1316:B1379" si="32">B1239</f>
        <v>Priemonės rūšis</v>
      </c>
      <c r="C1316" s="670">
        <f>'10'!U8</f>
        <v>0</v>
      </c>
    </row>
    <row r="1317" spans="1:3" x14ac:dyDescent="0.3">
      <c r="A1317" s="2" t="s">
        <v>190</v>
      </c>
      <c r="B1317" s="671" t="str">
        <f t="shared" si="32"/>
        <v>VVG teritorijos poreikių, kuriuos tenkina priemonė, skaičius</v>
      </c>
      <c r="C1317" s="670">
        <f>'10'!U9</f>
        <v>0</v>
      </c>
    </row>
    <row r="1318" spans="1:3" x14ac:dyDescent="0.3">
      <c r="A1318" s="2" t="s">
        <v>191</v>
      </c>
      <c r="B1318" s="671" t="str">
        <f t="shared" si="32"/>
        <v>BŽŪP tikslų, kuriuos įgyvendina priemonė, skaičius</v>
      </c>
      <c r="C1318" s="670">
        <f>'10'!U10</f>
        <v>0</v>
      </c>
    </row>
    <row r="1319" spans="1:3" x14ac:dyDescent="0.3">
      <c r="A1319" s="2" t="s">
        <v>192</v>
      </c>
      <c r="B1319" s="671" t="str">
        <f t="shared" si="32"/>
        <v>Pagrindinis BŽŪP tikslas, kurį įgyvendina VPS priemonė</v>
      </c>
      <c r="C1319" s="672" t="str">
        <f>'10'!U11</f>
        <v>Pasirinkite</v>
      </c>
    </row>
    <row r="1320" spans="1:3" ht="28.8" x14ac:dyDescent="0.3">
      <c r="A1320" s="2" t="s">
        <v>193</v>
      </c>
      <c r="B1320" s="673" t="str">
        <f t="shared" si="32"/>
        <v>Ar priemonė prisideda prie 4 konkretaus BŽŪP tikslo? (tikslas nurodytas 5 lape)</v>
      </c>
      <c r="C1320" s="672" t="str">
        <f>'10'!U12</f>
        <v>Ne</v>
      </c>
    </row>
    <row r="1321" spans="1:3" ht="28.8" x14ac:dyDescent="0.3">
      <c r="A1321" s="2" t="s">
        <v>194</v>
      </c>
      <c r="B1321" s="673" t="str">
        <f t="shared" si="32"/>
        <v>Ar priemonė prisideda prie 5 konkretaus BŽŪP tikslo? (tikslas nurodytas 5 lape)</v>
      </c>
      <c r="C1321" s="672" t="str">
        <f>'10'!U13</f>
        <v>Ne</v>
      </c>
    </row>
    <row r="1322" spans="1:3" ht="28.8" x14ac:dyDescent="0.3">
      <c r="A1322" s="2" t="s">
        <v>195</v>
      </c>
      <c r="B1322" s="673" t="str">
        <f t="shared" si="32"/>
        <v>Ar priemonė prisideda prie 6 konkretaus BŽŪP tikslo? (tikslas nurodytas 5 lape)</v>
      </c>
      <c r="C1322" s="672" t="str">
        <f>'10'!U14</f>
        <v>Ne</v>
      </c>
    </row>
    <row r="1323" spans="1:3" ht="28.8" x14ac:dyDescent="0.3">
      <c r="A1323" s="2" t="s">
        <v>196</v>
      </c>
      <c r="B1323" s="673" t="str">
        <f t="shared" si="32"/>
        <v>Ar priemonė prisideda prie 9 konkretaus BŽŪP tikslo? (tikslas nurodytas 5 lape)</v>
      </c>
      <c r="C1323" s="672" t="str">
        <f>'10'!U15</f>
        <v>Ne</v>
      </c>
    </row>
    <row r="1324" spans="1:3" x14ac:dyDescent="0.3">
      <c r="A1324" s="2" t="s">
        <v>94</v>
      </c>
      <c r="B1324" s="675" t="str">
        <f t="shared" si="32"/>
        <v>A dalis. Priemonės intervencijos logika:</v>
      </c>
      <c r="C1324" s="676"/>
    </row>
    <row r="1325" spans="1:3" ht="43.2" x14ac:dyDescent="0.3">
      <c r="A1325" s="2" t="s">
        <v>197</v>
      </c>
      <c r="B1325" s="673" t="str">
        <f t="shared" si="32"/>
        <v>Priemonės tikslas, ryšys su pagrindiniu BŽŪP tikslu ir VVG teritorijos poreikiais (problemomis ir (arba) potencialu), ryšys su VPS tema (jei taikoma)</v>
      </c>
      <c r="C1325" s="677">
        <f>'10'!U17</f>
        <v>0</v>
      </c>
    </row>
    <row r="1326" spans="1:3" x14ac:dyDescent="0.3">
      <c r="A1326" s="2" t="s">
        <v>198</v>
      </c>
      <c r="B1326" s="671" t="str">
        <f t="shared" si="32"/>
        <v>Pokytis, kurio siekiama VPS priemone</v>
      </c>
      <c r="C1326" s="677">
        <f>'10'!U18</f>
        <v>0</v>
      </c>
    </row>
    <row r="1327" spans="1:3" ht="28.8" x14ac:dyDescent="0.3">
      <c r="A1327" s="2" t="s">
        <v>199</v>
      </c>
      <c r="B1327" s="509" t="str">
        <f t="shared" si="32"/>
        <v>Kaip priemonė prisidės prie horizontalaus tikslo d įgyvendinimo? (pildoma, jei taikoma)</v>
      </c>
      <c r="C1327" s="677">
        <f>'10'!U19</f>
        <v>0</v>
      </c>
    </row>
    <row r="1328" spans="1:3" ht="28.8" x14ac:dyDescent="0.3">
      <c r="A1328" s="2" t="s">
        <v>200</v>
      </c>
      <c r="B1328" s="509" t="str">
        <f t="shared" si="32"/>
        <v>Kaip priemonė prisidės prie horizontalaus tikslo e įgyvendinimo? (pildoma, jei taikoma)</v>
      </c>
      <c r="C1328" s="677">
        <f>'10'!U20</f>
        <v>0</v>
      </c>
    </row>
    <row r="1329" spans="1:3" ht="28.8" x14ac:dyDescent="0.3">
      <c r="A1329" s="2" t="s">
        <v>201</v>
      </c>
      <c r="B1329" s="509" t="str">
        <f t="shared" si="32"/>
        <v>Kaip priemonė prisidės prie horizontalaus tikslo f įgyvendinimo? (pildoma, jei taikoma)</v>
      </c>
      <c r="C1329" s="677">
        <f>'10'!U21</f>
        <v>0</v>
      </c>
    </row>
    <row r="1330" spans="1:3" ht="28.8" x14ac:dyDescent="0.3">
      <c r="A1330" s="2" t="s">
        <v>202</v>
      </c>
      <c r="B1330" s="509" t="str">
        <f t="shared" si="32"/>
        <v>Kaip priemonė prisidės prie horizontalaus tikslo i įgyvendinimo? (pildoma, jei taikoma)</v>
      </c>
      <c r="C1330" s="677">
        <f>'10'!U22</f>
        <v>0</v>
      </c>
    </row>
    <row r="1331" spans="1:3" ht="28.8" x14ac:dyDescent="0.3">
      <c r="A1331" s="2" t="s">
        <v>203</v>
      </c>
      <c r="B1331" s="675" t="str">
        <f t="shared" si="32"/>
        <v>B dalis. Pareiškėjų ir projektų tinkamumo sąlygos, projektų atrankos principai:</v>
      </c>
      <c r="C1331" s="676"/>
    </row>
    <row r="1332" spans="1:3" x14ac:dyDescent="0.3">
      <c r="A1332" s="2" t="s">
        <v>204</v>
      </c>
      <c r="B1332" s="509" t="str">
        <f t="shared" si="32"/>
        <v>Pagal priemonę remiamos veiklos</v>
      </c>
      <c r="C1332" s="677">
        <f>'10'!U24</f>
        <v>0</v>
      </c>
    </row>
    <row r="1333" spans="1:3" ht="28.8" x14ac:dyDescent="0.3">
      <c r="A1333" s="2" t="s">
        <v>205</v>
      </c>
      <c r="B1333" s="671" t="str">
        <f t="shared" si="32"/>
        <v>Tinkami pareiškėjai ir partneriai (jei taikomas reikalavimas projektus įgyvendinti su partneriais)</v>
      </c>
      <c r="C1333" s="677">
        <f>'10'!U25</f>
        <v>0</v>
      </c>
    </row>
    <row r="1334" spans="1:3" ht="28.8" x14ac:dyDescent="0.3">
      <c r="A1334" s="2" t="s">
        <v>206</v>
      </c>
      <c r="B1334" s="671" t="str">
        <f t="shared" si="32"/>
        <v>Priemonės tikslinė grupė (pildoma, jei nesutampa su tinkamais pareiškėjais ir (arba) partneriais)</v>
      </c>
      <c r="C1334" s="677">
        <f>'10'!U26</f>
        <v>0</v>
      </c>
    </row>
    <row r="1335" spans="1:3" x14ac:dyDescent="0.3">
      <c r="A1335" s="2" t="s">
        <v>725</v>
      </c>
      <c r="B1335" s="509" t="str">
        <f t="shared" si="32"/>
        <v>Tinkamumo sąlygos pareiškėjams ir projektams</v>
      </c>
      <c r="C1335" s="677">
        <f>'10'!U27</f>
        <v>0</v>
      </c>
    </row>
    <row r="1336" spans="1:3" x14ac:dyDescent="0.3">
      <c r="A1336" s="2" t="s">
        <v>726</v>
      </c>
      <c r="B1336" s="673" t="str">
        <f t="shared" si="32"/>
        <v>Projektų atrankos principai</v>
      </c>
      <c r="C1336" s="677">
        <f>'10'!U28</f>
        <v>0</v>
      </c>
    </row>
    <row r="1337" spans="1:3" x14ac:dyDescent="0.3">
      <c r="A1337" s="2" t="s">
        <v>727</v>
      </c>
      <c r="B1337" s="509" t="str">
        <f t="shared" si="32"/>
        <v>Planuojamų kvietimų teikti paraiškas skaičius</v>
      </c>
      <c r="C1337" s="670">
        <f>'10'!U29</f>
        <v>0</v>
      </c>
    </row>
    <row r="1338" spans="1:3" x14ac:dyDescent="0.3">
      <c r="A1338" s="2" t="s">
        <v>728</v>
      </c>
      <c r="B1338" s="651" t="str">
        <f t="shared" si="32"/>
        <v>C dalis. Paramos dydžiai:</v>
      </c>
      <c r="C1338" s="676"/>
    </row>
    <row r="1339" spans="1:3" x14ac:dyDescent="0.3">
      <c r="A1339" s="2" t="s">
        <v>729</v>
      </c>
      <c r="B1339" s="509" t="str">
        <f t="shared" si="32"/>
        <v>Didžiausia paramos suma vietos projektui, Eur</v>
      </c>
      <c r="C1339" s="677">
        <f>'10'!U31</f>
        <v>0</v>
      </c>
    </row>
    <row r="1340" spans="1:3" x14ac:dyDescent="0.3">
      <c r="A1340" s="2" t="s">
        <v>730</v>
      </c>
      <c r="B1340" s="509" t="str">
        <f t="shared" si="32"/>
        <v xml:space="preserve">Paramos lyginamoji dalis, proc. </v>
      </c>
      <c r="C1340" s="677">
        <f>'10'!U32</f>
        <v>0</v>
      </c>
    </row>
    <row r="1341" spans="1:3" x14ac:dyDescent="0.3">
      <c r="A1341" s="2" t="s">
        <v>731</v>
      </c>
      <c r="B1341" s="509" t="str">
        <f t="shared" si="32"/>
        <v>Planuojama paramos suma priemonei, Eur</v>
      </c>
      <c r="C1341" s="678">
        <f>'10'!U33</f>
        <v>0</v>
      </c>
    </row>
    <row r="1342" spans="1:3" x14ac:dyDescent="0.3">
      <c r="A1342" s="2" t="s">
        <v>732</v>
      </c>
      <c r="B1342" s="509" t="str">
        <f t="shared" si="32"/>
        <v>Planuojama paremti projektų (rodiklis L700)</v>
      </c>
      <c r="C1342" s="679">
        <f>'10'!U34</f>
        <v>0</v>
      </c>
    </row>
    <row r="1343" spans="1:3" x14ac:dyDescent="0.3">
      <c r="A1343" s="2" t="s">
        <v>733</v>
      </c>
      <c r="B1343" s="509" t="str">
        <f t="shared" si="32"/>
        <v>Paaiškinimas, kaip nustatyta rodiklio L700 reikšmė</v>
      </c>
      <c r="C1343" s="677">
        <f>'10'!U35</f>
        <v>0</v>
      </c>
    </row>
    <row r="1344" spans="1:3" ht="28.8" x14ac:dyDescent="0.3">
      <c r="A1344" s="2" t="s">
        <v>734</v>
      </c>
      <c r="B1344" s="651" t="str">
        <f t="shared" si="32"/>
        <v>D dalis. Priemonės indėlis į ES ir nacionalinių horizontaliųjų principų įgyvendinimą:</v>
      </c>
      <c r="C1344" s="676"/>
    </row>
    <row r="1345" spans="1:3" x14ac:dyDescent="0.3">
      <c r="A1345" s="2" t="s">
        <v>735</v>
      </c>
      <c r="B1345" s="680" t="str">
        <f t="shared" si="32"/>
        <v>Subregioninės vietovės principas:</v>
      </c>
      <c r="C1345" s="676"/>
    </row>
    <row r="1346" spans="1:3" ht="28.8" x14ac:dyDescent="0.3">
      <c r="A1346" s="2" t="s">
        <v>736</v>
      </c>
      <c r="B1346" s="509" t="str">
        <f t="shared" si="32"/>
        <v>Ar siekiama, kad pagal priemonę finansuojami projektai apimtų visas VVG teritorijos seniūnijas?</v>
      </c>
      <c r="C1346" s="672" t="str">
        <f>'10'!U38</f>
        <v>Ne</v>
      </c>
    </row>
    <row r="1347" spans="1:3" x14ac:dyDescent="0.3">
      <c r="A1347" s="2" t="s">
        <v>737</v>
      </c>
      <c r="B1347" s="509" t="str">
        <f t="shared" si="32"/>
        <v>Pasirinkimo pagrindimas</v>
      </c>
      <c r="C1347" s="677">
        <f>'10'!U39</f>
        <v>0</v>
      </c>
    </row>
    <row r="1348" spans="1:3" x14ac:dyDescent="0.3">
      <c r="A1348" s="2" t="s">
        <v>738</v>
      </c>
      <c r="B1348" s="680" t="str">
        <f t="shared" si="32"/>
        <v>Partnerystės principas:</v>
      </c>
      <c r="C1348" s="676"/>
    </row>
    <row r="1349" spans="1:3" ht="28.8" x14ac:dyDescent="0.3">
      <c r="A1349" s="2" t="s">
        <v>739</v>
      </c>
      <c r="B1349" s="509" t="str">
        <f t="shared" si="32"/>
        <v>Ar siekiama, kad pagal priemonę finansuojami projektai būtų vykdomi su partneriais?</v>
      </c>
      <c r="C1349" s="672" t="str">
        <f>'10'!U41</f>
        <v>Ne</v>
      </c>
    </row>
    <row r="1350" spans="1:3" x14ac:dyDescent="0.3">
      <c r="A1350" s="2" t="s">
        <v>740</v>
      </c>
      <c r="B1350" s="509" t="str">
        <f t="shared" si="32"/>
        <v>Pasirinkimo pagrindimas</v>
      </c>
      <c r="C1350" s="677">
        <f>'10'!U42</f>
        <v>0</v>
      </c>
    </row>
    <row r="1351" spans="1:3" x14ac:dyDescent="0.3">
      <c r="A1351" s="2" t="s">
        <v>741</v>
      </c>
      <c r="B1351" s="680" t="str">
        <f t="shared" si="32"/>
        <v>Inovacijų principas:</v>
      </c>
      <c r="C1351" s="676"/>
    </row>
    <row r="1352" spans="1:3" ht="28.8" x14ac:dyDescent="0.3">
      <c r="A1352" s="2" t="s">
        <v>742</v>
      </c>
      <c r="B1352" s="509" t="str">
        <f t="shared" si="32"/>
        <v>Ar siekiama, kad pagal priemonę finansuojami projektai būtų skirti inovacijoms vietos lygiu diegti?</v>
      </c>
      <c r="C1352" s="672" t="str">
        <f>'10'!U44</f>
        <v>Ne</v>
      </c>
    </row>
    <row r="1353" spans="1:3" x14ac:dyDescent="0.3">
      <c r="A1353" s="2" t="s">
        <v>743</v>
      </c>
      <c r="B1353" s="509" t="str">
        <f t="shared" si="32"/>
        <v>Pasirinkimo pagrindimas</v>
      </c>
      <c r="C1353" s="677">
        <f>'10'!U45</f>
        <v>0</v>
      </c>
    </row>
    <row r="1354" spans="1:3" ht="28.8" x14ac:dyDescent="0.3">
      <c r="A1354" s="2" t="s">
        <v>744</v>
      </c>
      <c r="B1354" s="509" t="str">
        <f t="shared" si="32"/>
        <v>Planuojama paremti projektų, skirtų inovacijoms vietos lygiu diegti (rodiklis L710)</v>
      </c>
      <c r="C1354" s="679">
        <f>'10'!U46</f>
        <v>0</v>
      </c>
    </row>
    <row r="1355" spans="1:3" x14ac:dyDescent="0.3">
      <c r="A1355" s="2" t="s">
        <v>745</v>
      </c>
      <c r="B1355" s="680" t="str">
        <f t="shared" si="32"/>
        <v>Lyčių lygybė ir nediskriminavimas:</v>
      </c>
      <c r="C1355" s="676"/>
    </row>
    <row r="1356" spans="1:3" ht="28.8" x14ac:dyDescent="0.3">
      <c r="A1356" s="2" t="s">
        <v>746</v>
      </c>
      <c r="B1356" s="509" t="str">
        <f t="shared" si="32"/>
        <v>Ar pagal priemonę finansuojami projektai, skirti lyčių lygybei ir nediskriminavimui?</v>
      </c>
      <c r="C1356" s="672" t="str">
        <f>'10'!U48</f>
        <v>Ne</v>
      </c>
    </row>
    <row r="1357" spans="1:3" x14ac:dyDescent="0.3">
      <c r="A1357" s="2" t="s">
        <v>747</v>
      </c>
      <c r="B1357" s="509" t="str">
        <f t="shared" si="32"/>
        <v>Pasirinkimo pagrindimas (jei taip, kaip bus užtikrinta)</v>
      </c>
      <c r="C1357" s="677">
        <f>'10'!U49</f>
        <v>0</v>
      </c>
    </row>
    <row r="1358" spans="1:3" x14ac:dyDescent="0.3">
      <c r="A1358" s="2" t="s">
        <v>748</v>
      </c>
      <c r="B1358" s="680" t="str">
        <f t="shared" si="32"/>
        <v>Jaunimas:</v>
      </c>
      <c r="C1358" s="676"/>
    </row>
    <row r="1359" spans="1:3" x14ac:dyDescent="0.3">
      <c r="A1359" s="2" t="s">
        <v>749</v>
      </c>
      <c r="B1359" s="509" t="str">
        <f t="shared" si="32"/>
        <v>Ar pagal priemonę finansuojami projektai, skirti jaunimui?</v>
      </c>
      <c r="C1359" s="672" t="str">
        <f>'10'!U51</f>
        <v>Ne</v>
      </c>
    </row>
    <row r="1360" spans="1:3" x14ac:dyDescent="0.3">
      <c r="A1360" s="2" t="s">
        <v>750</v>
      </c>
      <c r="B1360" s="509" t="str">
        <f t="shared" si="32"/>
        <v>Pasirinkimo pagrindimas (jei taip, kaip bus užtikrinta)</v>
      </c>
      <c r="C1360" s="677">
        <f>'10'!U52</f>
        <v>0</v>
      </c>
    </row>
    <row r="1361" spans="1:3" x14ac:dyDescent="0.3">
      <c r="A1361" s="2" t="s">
        <v>751</v>
      </c>
      <c r="B1361" s="675" t="str">
        <f t="shared" si="32"/>
        <v>E dalis. Priemonės rezultato rodikliai:</v>
      </c>
      <c r="C1361" s="676"/>
    </row>
    <row r="1362" spans="1:3" x14ac:dyDescent="0.3">
      <c r="A1362" s="2" t="s">
        <v>752</v>
      </c>
      <c r="B1362" s="680" t="str">
        <f t="shared" si="32"/>
        <v>SP rezultato rodiklių taikymas priemonei:</v>
      </c>
      <c r="C1362" s="676"/>
    </row>
    <row r="1363" spans="1:3" x14ac:dyDescent="0.3">
      <c r="A1363" s="2" t="s">
        <v>753</v>
      </c>
      <c r="B1363" s="681" t="str">
        <f t="shared" si="32"/>
        <v>R.3</v>
      </c>
      <c r="C1363" s="687" t="str">
        <f>'10'!U55</f>
        <v>Ne</v>
      </c>
    </row>
    <row r="1364" spans="1:3" x14ac:dyDescent="0.3">
      <c r="A1364" s="2" t="s">
        <v>754</v>
      </c>
      <c r="B1364" s="681" t="str">
        <f t="shared" si="32"/>
        <v>R.37</v>
      </c>
      <c r="C1364" s="687" t="str">
        <f>'10'!U56</f>
        <v>Ne</v>
      </c>
    </row>
    <row r="1365" spans="1:3" x14ac:dyDescent="0.3">
      <c r="A1365" s="2" t="s">
        <v>755</v>
      </c>
      <c r="B1365" s="681" t="str">
        <f t="shared" si="32"/>
        <v>R.39</v>
      </c>
      <c r="C1365" s="687" t="str">
        <f>'10'!U57</f>
        <v>Ne</v>
      </c>
    </row>
    <row r="1366" spans="1:3" x14ac:dyDescent="0.3">
      <c r="A1366" s="2" t="s">
        <v>756</v>
      </c>
      <c r="B1366" s="681" t="str">
        <f t="shared" si="32"/>
        <v>R.41</v>
      </c>
      <c r="C1366" s="687" t="str">
        <f>'10'!U58</f>
        <v>Ne</v>
      </c>
    </row>
    <row r="1367" spans="1:3" x14ac:dyDescent="0.3">
      <c r="A1367" s="2" t="s">
        <v>757</v>
      </c>
      <c r="B1367" s="681" t="str">
        <f t="shared" si="32"/>
        <v>R.42</v>
      </c>
      <c r="C1367" s="687" t="str">
        <f>'10'!U59</f>
        <v>Ne</v>
      </c>
    </row>
    <row r="1368" spans="1:3" x14ac:dyDescent="0.3">
      <c r="A1368" s="2" t="s">
        <v>758</v>
      </c>
      <c r="B1368" s="680" t="str">
        <f t="shared" si="32"/>
        <v>VPS rodiklių taikymas priemonei:</v>
      </c>
      <c r="C1368" s="688"/>
    </row>
    <row r="1369" spans="1:3" x14ac:dyDescent="0.3">
      <c r="A1369" s="2" t="s">
        <v>759</v>
      </c>
      <c r="B1369" s="681" t="str">
        <f t="shared" si="32"/>
        <v>TRAK-P.1</v>
      </c>
      <c r="C1369" s="687" t="str">
        <f>'10'!U61</f>
        <v>Ne</v>
      </c>
    </row>
    <row r="1370" spans="1:3" x14ac:dyDescent="0.3">
      <c r="A1370" s="2" t="s">
        <v>760</v>
      </c>
      <c r="B1370" s="681" t="str">
        <f t="shared" si="32"/>
        <v>TRAK-P.2</v>
      </c>
      <c r="C1370" s="687" t="str">
        <f>'10'!U62</f>
        <v>Ne</v>
      </c>
    </row>
    <row r="1371" spans="1:3" x14ac:dyDescent="0.3">
      <c r="A1371" s="2" t="s">
        <v>761</v>
      </c>
      <c r="B1371" s="681" t="str">
        <f t="shared" si="32"/>
        <v>TRAK-P.3</v>
      </c>
      <c r="C1371" s="687" t="str">
        <f>'10'!U63</f>
        <v>Ne</v>
      </c>
    </row>
    <row r="1372" spans="1:3" x14ac:dyDescent="0.3">
      <c r="A1372" s="2" t="s">
        <v>762</v>
      </c>
      <c r="B1372" s="681" t="str">
        <f t="shared" si="32"/>
        <v>TRAK-P.4</v>
      </c>
      <c r="C1372" s="687" t="str">
        <f>'10'!U64</f>
        <v>Ne</v>
      </c>
    </row>
    <row r="1373" spans="1:3" x14ac:dyDescent="0.3">
      <c r="A1373" s="2" t="s">
        <v>763</v>
      </c>
      <c r="B1373" s="681" t="str">
        <f t="shared" si="32"/>
        <v>TRAK-P.5</v>
      </c>
      <c r="C1373" s="687" t="str">
        <f>'10'!U65</f>
        <v>Ne</v>
      </c>
    </row>
    <row r="1374" spans="1:3" x14ac:dyDescent="0.3">
      <c r="A1374" s="2" t="s">
        <v>764</v>
      </c>
      <c r="B1374" s="681" t="str">
        <f t="shared" si="32"/>
        <v>TRAK-P.6</v>
      </c>
      <c r="C1374" s="687" t="str">
        <f>'10'!U66</f>
        <v>Ne</v>
      </c>
    </row>
    <row r="1375" spans="1:3" x14ac:dyDescent="0.3">
      <c r="A1375" s="2" t="s">
        <v>765</v>
      </c>
      <c r="B1375" s="681" t="str">
        <f t="shared" si="32"/>
        <v>TRAK-P.7</v>
      </c>
      <c r="C1375" s="687" t="str">
        <f>'10'!U67</f>
        <v>Ne</v>
      </c>
    </row>
    <row r="1376" spans="1:3" x14ac:dyDescent="0.3">
      <c r="A1376" s="2" t="s">
        <v>766</v>
      </c>
      <c r="B1376" s="681" t="str">
        <f t="shared" si="32"/>
        <v>TRAK-P.8</v>
      </c>
      <c r="C1376" s="687" t="str">
        <f>'10'!U68</f>
        <v>Ne</v>
      </c>
    </row>
    <row r="1377" spans="1:3" x14ac:dyDescent="0.3">
      <c r="A1377" s="2" t="s">
        <v>767</v>
      </c>
      <c r="B1377" s="681" t="str">
        <f t="shared" si="32"/>
        <v>TRAK-P.9</v>
      </c>
      <c r="C1377" s="687" t="str">
        <f>'10'!U69</f>
        <v>Ne</v>
      </c>
    </row>
    <row r="1378" spans="1:3" x14ac:dyDescent="0.3">
      <c r="A1378" s="2" t="s">
        <v>768</v>
      </c>
      <c r="B1378" s="683" t="str">
        <f t="shared" si="32"/>
        <v>TRAK-P.10</v>
      </c>
      <c r="C1378" s="689" t="str">
        <f>'10'!U70</f>
        <v>Ne</v>
      </c>
    </row>
    <row r="1379" spans="1:3" x14ac:dyDescent="0.3">
      <c r="A1379" s="2" t="s">
        <v>769</v>
      </c>
      <c r="B1379" s="675" t="str">
        <f t="shared" si="32"/>
        <v>F dalis. Pagal priemonę remiamų projektų pobūdis:</v>
      </c>
      <c r="C1379" s="676"/>
    </row>
    <row r="1380" spans="1:3" x14ac:dyDescent="0.3">
      <c r="A1380" s="2" t="s">
        <v>770</v>
      </c>
      <c r="B1380" s="671" t="str">
        <f t="shared" ref="B1380:B1389" si="33">B1303</f>
        <v>Remiami pelno projektai</v>
      </c>
      <c r="C1380" s="672" t="str">
        <f>'10'!U72</f>
        <v>Ne</v>
      </c>
    </row>
    <row r="1381" spans="1:3" ht="57.6" x14ac:dyDescent="0.3">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57.6" x14ac:dyDescent="0.3">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3.2" x14ac:dyDescent="0.3">
      <c r="A1383" s="2" t="s">
        <v>773</v>
      </c>
      <c r="B1383" s="673" t="str">
        <f t="shared" si="33"/>
        <v>Remiami projektai, susiję su atsinaujinančios energijos gamybos pajėgumais, įskaitant biologinę (aktualu rodikliui L803)</v>
      </c>
      <c r="C1383" s="672" t="str">
        <f>'10'!U75</f>
        <v>Ne</v>
      </c>
    </row>
    <row r="1384" spans="1:3" ht="43.2" x14ac:dyDescent="0.3">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28.8" x14ac:dyDescent="0.3">
      <c r="A1385" s="2" t="s">
        <v>775</v>
      </c>
      <c r="B1385" s="673" t="str">
        <f t="shared" si="33"/>
        <v>Remiami projektai, kurie kuria darbo vietas (aktualu rodikliui L805)</v>
      </c>
      <c r="C1385" s="672" t="str">
        <f>'10'!U77</f>
        <v>Ne</v>
      </c>
    </row>
    <row r="1386" spans="1:3" ht="28.8" x14ac:dyDescent="0.3">
      <c r="A1386" s="2" t="s">
        <v>776</v>
      </c>
      <c r="B1386" s="673" t="str">
        <f t="shared" si="33"/>
        <v>Remiami kaimo verslų, įskaitant bioekonomiką, projektai (aktualu rodikliui L 806)</v>
      </c>
      <c r="C1386" s="672" t="str">
        <f>'10'!U78</f>
        <v>Ne</v>
      </c>
    </row>
    <row r="1387" spans="1:3" ht="28.8" x14ac:dyDescent="0.3">
      <c r="A1387" s="2" t="s">
        <v>777</v>
      </c>
      <c r="B1387" s="673" t="str">
        <f t="shared" si="33"/>
        <v>Remiami projektai, susiję su sumanių kaimų strategijomis (aktualu rodikliui L807)</v>
      </c>
      <c r="C1387" s="672" t="str">
        <f>'10'!U79</f>
        <v>Ne</v>
      </c>
    </row>
    <row r="1388" spans="1:3" ht="28.8" x14ac:dyDescent="0.3">
      <c r="A1388" s="2" t="s">
        <v>778</v>
      </c>
      <c r="B1388" s="673" t="str">
        <f t="shared" si="33"/>
        <v>Remiami projektai, gerinantys paslaugų prieinamumą ir infrastruktūrą (aktualu rodikliui L808)</v>
      </c>
      <c r="C1388" s="672" t="str">
        <f>'10'!U80</f>
        <v>Ne</v>
      </c>
    </row>
    <row r="1389" spans="1:3" ht="28.8" x14ac:dyDescent="0.3">
      <c r="A1389" s="2" t="s">
        <v>779</v>
      </c>
      <c r="B1389" s="673" t="str">
        <f t="shared" si="33"/>
        <v>Remiami socialinės įtraukties projektai (aktualu rodikliui L809)</v>
      </c>
      <c r="C1389" s="672" t="str">
        <f>'10'!U81</f>
        <v>Ne</v>
      </c>
    </row>
    <row r="1390" spans="1:3" x14ac:dyDescent="0.3">
      <c r="A1390" s="2"/>
      <c r="B1390" s="649"/>
      <c r="C1390" s="685"/>
    </row>
    <row r="1391" spans="1:3" x14ac:dyDescent="0.3">
      <c r="A1391" s="1"/>
      <c r="B1391" s="362"/>
      <c r="C1391" s="686" t="str">
        <f>'10'!V6</f>
        <v>19 priemonė</v>
      </c>
    </row>
    <row r="1392" spans="1:3" x14ac:dyDescent="0.3">
      <c r="A1392" s="2" t="s">
        <v>188</v>
      </c>
      <c r="B1392" s="509" t="str">
        <f>B1315</f>
        <v>Priemonės pavadinimas</v>
      </c>
      <c r="C1392" s="670">
        <f>'10'!V7</f>
        <v>0</v>
      </c>
    </row>
    <row r="1393" spans="1:3" x14ac:dyDescent="0.3">
      <c r="A1393" s="2" t="s">
        <v>189</v>
      </c>
      <c r="B1393" s="671" t="str">
        <f t="shared" ref="B1393:B1456" si="34">B1316</f>
        <v>Priemonės rūšis</v>
      </c>
      <c r="C1393" s="670">
        <f>'10'!V8</f>
        <v>0</v>
      </c>
    </row>
    <row r="1394" spans="1:3" x14ac:dyDescent="0.3">
      <c r="A1394" s="2" t="s">
        <v>190</v>
      </c>
      <c r="B1394" s="671" t="str">
        <f t="shared" si="34"/>
        <v>VVG teritorijos poreikių, kuriuos tenkina priemonė, skaičius</v>
      </c>
      <c r="C1394" s="670">
        <f>'10'!V9</f>
        <v>0</v>
      </c>
    </row>
    <row r="1395" spans="1:3" x14ac:dyDescent="0.3">
      <c r="A1395" s="2" t="s">
        <v>191</v>
      </c>
      <c r="B1395" s="671" t="str">
        <f t="shared" si="34"/>
        <v>BŽŪP tikslų, kuriuos įgyvendina priemonė, skaičius</v>
      </c>
      <c r="C1395" s="670">
        <f>'10'!V10</f>
        <v>0</v>
      </c>
    </row>
    <row r="1396" spans="1:3" x14ac:dyDescent="0.3">
      <c r="A1396" s="2" t="s">
        <v>192</v>
      </c>
      <c r="B1396" s="671" t="str">
        <f t="shared" si="34"/>
        <v>Pagrindinis BŽŪP tikslas, kurį įgyvendina VPS priemonė</v>
      </c>
      <c r="C1396" s="672" t="str">
        <f>'10'!V11</f>
        <v>Pasirinkite</v>
      </c>
    </row>
    <row r="1397" spans="1:3" ht="28.8" x14ac:dyDescent="0.3">
      <c r="A1397" s="2" t="s">
        <v>193</v>
      </c>
      <c r="B1397" s="673" t="str">
        <f t="shared" si="34"/>
        <v>Ar priemonė prisideda prie 4 konkretaus BŽŪP tikslo? (tikslas nurodytas 5 lape)</v>
      </c>
      <c r="C1397" s="672" t="str">
        <f>'10'!V12</f>
        <v>Ne</v>
      </c>
    </row>
    <row r="1398" spans="1:3" ht="28.8" x14ac:dyDescent="0.3">
      <c r="A1398" s="2" t="s">
        <v>194</v>
      </c>
      <c r="B1398" s="673" t="str">
        <f t="shared" si="34"/>
        <v>Ar priemonė prisideda prie 5 konkretaus BŽŪP tikslo? (tikslas nurodytas 5 lape)</v>
      </c>
      <c r="C1398" s="672" t="str">
        <f>'10'!V13</f>
        <v>Ne</v>
      </c>
    </row>
    <row r="1399" spans="1:3" ht="28.8" x14ac:dyDescent="0.3">
      <c r="A1399" s="2" t="s">
        <v>195</v>
      </c>
      <c r="B1399" s="673" t="str">
        <f t="shared" si="34"/>
        <v>Ar priemonė prisideda prie 6 konkretaus BŽŪP tikslo? (tikslas nurodytas 5 lape)</v>
      </c>
      <c r="C1399" s="672" t="str">
        <f>'10'!V14</f>
        <v>Ne</v>
      </c>
    </row>
    <row r="1400" spans="1:3" ht="28.8" x14ac:dyDescent="0.3">
      <c r="A1400" s="2" t="s">
        <v>196</v>
      </c>
      <c r="B1400" s="673" t="str">
        <f t="shared" si="34"/>
        <v>Ar priemonė prisideda prie 9 konkretaus BŽŪP tikslo? (tikslas nurodytas 5 lape)</v>
      </c>
      <c r="C1400" s="672" t="str">
        <f>'10'!V15</f>
        <v>Ne</v>
      </c>
    </row>
    <row r="1401" spans="1:3" x14ac:dyDescent="0.3">
      <c r="A1401" s="2" t="s">
        <v>94</v>
      </c>
      <c r="B1401" s="675" t="str">
        <f t="shared" si="34"/>
        <v>A dalis. Priemonės intervencijos logika:</v>
      </c>
      <c r="C1401" s="676"/>
    </row>
    <row r="1402" spans="1:3" ht="43.2" x14ac:dyDescent="0.3">
      <c r="A1402" s="2" t="s">
        <v>197</v>
      </c>
      <c r="B1402" s="673" t="str">
        <f t="shared" si="34"/>
        <v>Priemonės tikslas, ryšys su pagrindiniu BŽŪP tikslu ir VVG teritorijos poreikiais (problemomis ir (arba) potencialu), ryšys su VPS tema (jei taikoma)</v>
      </c>
      <c r="C1402" s="677">
        <f>'10'!V17</f>
        <v>0</v>
      </c>
    </row>
    <row r="1403" spans="1:3" x14ac:dyDescent="0.3">
      <c r="A1403" s="2" t="s">
        <v>198</v>
      </c>
      <c r="B1403" s="671" t="str">
        <f t="shared" si="34"/>
        <v>Pokytis, kurio siekiama VPS priemone</v>
      </c>
      <c r="C1403" s="677">
        <f>'10'!V18</f>
        <v>0</v>
      </c>
    </row>
    <row r="1404" spans="1:3" ht="28.8" x14ac:dyDescent="0.3">
      <c r="A1404" s="2" t="s">
        <v>199</v>
      </c>
      <c r="B1404" s="509" t="str">
        <f t="shared" si="34"/>
        <v>Kaip priemonė prisidės prie horizontalaus tikslo d įgyvendinimo? (pildoma, jei taikoma)</v>
      </c>
      <c r="C1404" s="677">
        <f>'10'!V19</f>
        <v>0</v>
      </c>
    </row>
    <row r="1405" spans="1:3" ht="28.8" x14ac:dyDescent="0.3">
      <c r="A1405" s="2" t="s">
        <v>200</v>
      </c>
      <c r="B1405" s="509" t="str">
        <f t="shared" si="34"/>
        <v>Kaip priemonė prisidės prie horizontalaus tikslo e įgyvendinimo? (pildoma, jei taikoma)</v>
      </c>
      <c r="C1405" s="677">
        <f>'10'!V20</f>
        <v>0</v>
      </c>
    </row>
    <row r="1406" spans="1:3" ht="28.8" x14ac:dyDescent="0.3">
      <c r="A1406" s="2" t="s">
        <v>201</v>
      </c>
      <c r="B1406" s="509" t="str">
        <f t="shared" si="34"/>
        <v>Kaip priemonė prisidės prie horizontalaus tikslo f įgyvendinimo? (pildoma, jei taikoma)</v>
      </c>
      <c r="C1406" s="677">
        <f>'10'!V21</f>
        <v>0</v>
      </c>
    </row>
    <row r="1407" spans="1:3" ht="28.8" x14ac:dyDescent="0.3">
      <c r="A1407" s="2" t="s">
        <v>202</v>
      </c>
      <c r="B1407" s="509" t="str">
        <f t="shared" si="34"/>
        <v>Kaip priemonė prisidės prie horizontalaus tikslo i įgyvendinimo? (pildoma, jei taikoma)</v>
      </c>
      <c r="C1407" s="677">
        <f>'10'!V22</f>
        <v>0</v>
      </c>
    </row>
    <row r="1408" spans="1:3" ht="28.8" x14ac:dyDescent="0.3">
      <c r="A1408" s="2" t="s">
        <v>203</v>
      </c>
      <c r="B1408" s="675" t="str">
        <f t="shared" si="34"/>
        <v>B dalis. Pareiškėjų ir projektų tinkamumo sąlygos, projektų atrankos principai:</v>
      </c>
      <c r="C1408" s="676"/>
    </row>
    <row r="1409" spans="1:3" x14ac:dyDescent="0.3">
      <c r="A1409" s="2" t="s">
        <v>204</v>
      </c>
      <c r="B1409" s="509" t="str">
        <f t="shared" si="34"/>
        <v>Pagal priemonę remiamos veiklos</v>
      </c>
      <c r="C1409" s="677">
        <f>'10'!V24</f>
        <v>0</v>
      </c>
    </row>
    <row r="1410" spans="1:3" ht="28.8" x14ac:dyDescent="0.3">
      <c r="A1410" s="2" t="s">
        <v>205</v>
      </c>
      <c r="B1410" s="671" t="str">
        <f t="shared" si="34"/>
        <v>Tinkami pareiškėjai ir partneriai (jei taikomas reikalavimas projektus įgyvendinti su partneriais)</v>
      </c>
      <c r="C1410" s="677">
        <f>'10'!V25</f>
        <v>0</v>
      </c>
    </row>
    <row r="1411" spans="1:3" ht="28.8" x14ac:dyDescent="0.3">
      <c r="A1411" s="2" t="s">
        <v>206</v>
      </c>
      <c r="B1411" s="671" t="str">
        <f t="shared" si="34"/>
        <v>Priemonės tikslinė grupė (pildoma, jei nesutampa su tinkamais pareiškėjais ir (arba) partneriais)</v>
      </c>
      <c r="C1411" s="677">
        <f>'10'!V26</f>
        <v>0</v>
      </c>
    </row>
    <row r="1412" spans="1:3" x14ac:dyDescent="0.3">
      <c r="A1412" s="2" t="s">
        <v>725</v>
      </c>
      <c r="B1412" s="509" t="str">
        <f t="shared" si="34"/>
        <v>Tinkamumo sąlygos pareiškėjams ir projektams</v>
      </c>
      <c r="C1412" s="677">
        <f>'10'!V27</f>
        <v>0</v>
      </c>
    </row>
    <row r="1413" spans="1:3" x14ac:dyDescent="0.3">
      <c r="A1413" s="2" t="s">
        <v>726</v>
      </c>
      <c r="B1413" s="673" t="str">
        <f t="shared" si="34"/>
        <v>Projektų atrankos principai</v>
      </c>
      <c r="C1413" s="677">
        <f>'10'!V28</f>
        <v>0</v>
      </c>
    </row>
    <row r="1414" spans="1:3" x14ac:dyDescent="0.3">
      <c r="A1414" s="2" t="s">
        <v>727</v>
      </c>
      <c r="B1414" s="509" t="str">
        <f t="shared" si="34"/>
        <v>Planuojamų kvietimų teikti paraiškas skaičius</v>
      </c>
      <c r="C1414" s="670">
        <f>'10'!V29</f>
        <v>0</v>
      </c>
    </row>
    <row r="1415" spans="1:3" x14ac:dyDescent="0.3">
      <c r="A1415" s="2" t="s">
        <v>728</v>
      </c>
      <c r="B1415" s="651" t="str">
        <f t="shared" si="34"/>
        <v>C dalis. Paramos dydžiai:</v>
      </c>
      <c r="C1415" s="676"/>
    </row>
    <row r="1416" spans="1:3" x14ac:dyDescent="0.3">
      <c r="A1416" s="2" t="s">
        <v>729</v>
      </c>
      <c r="B1416" s="509" t="str">
        <f t="shared" si="34"/>
        <v>Didžiausia paramos suma vietos projektui, Eur</v>
      </c>
      <c r="C1416" s="677">
        <f>'10'!V31</f>
        <v>0</v>
      </c>
    </row>
    <row r="1417" spans="1:3" x14ac:dyDescent="0.3">
      <c r="A1417" s="2" t="s">
        <v>730</v>
      </c>
      <c r="B1417" s="509" t="str">
        <f t="shared" si="34"/>
        <v xml:space="preserve">Paramos lyginamoji dalis, proc. </v>
      </c>
      <c r="C1417" s="677">
        <f>'10'!V32</f>
        <v>0</v>
      </c>
    </row>
    <row r="1418" spans="1:3" x14ac:dyDescent="0.3">
      <c r="A1418" s="2" t="s">
        <v>731</v>
      </c>
      <c r="B1418" s="509" t="str">
        <f t="shared" si="34"/>
        <v>Planuojama paramos suma priemonei, Eur</v>
      </c>
      <c r="C1418" s="678">
        <f>'10'!V33</f>
        <v>0</v>
      </c>
    </row>
    <row r="1419" spans="1:3" x14ac:dyDescent="0.3">
      <c r="A1419" s="2" t="s">
        <v>732</v>
      </c>
      <c r="B1419" s="509" t="str">
        <f t="shared" si="34"/>
        <v>Planuojama paremti projektų (rodiklis L700)</v>
      </c>
      <c r="C1419" s="679">
        <f>'10'!V34</f>
        <v>0</v>
      </c>
    </row>
    <row r="1420" spans="1:3" x14ac:dyDescent="0.3">
      <c r="A1420" s="2" t="s">
        <v>733</v>
      </c>
      <c r="B1420" s="509" t="str">
        <f t="shared" si="34"/>
        <v>Paaiškinimas, kaip nustatyta rodiklio L700 reikšmė</v>
      </c>
      <c r="C1420" s="677">
        <f>'10'!V35</f>
        <v>0</v>
      </c>
    </row>
    <row r="1421" spans="1:3" ht="28.8" x14ac:dyDescent="0.3">
      <c r="A1421" s="2" t="s">
        <v>734</v>
      </c>
      <c r="B1421" s="651" t="str">
        <f t="shared" si="34"/>
        <v>D dalis. Priemonės indėlis į ES ir nacionalinių horizontaliųjų principų įgyvendinimą:</v>
      </c>
      <c r="C1421" s="676"/>
    </row>
    <row r="1422" spans="1:3" x14ac:dyDescent="0.3">
      <c r="A1422" s="2" t="s">
        <v>735</v>
      </c>
      <c r="B1422" s="680" t="str">
        <f t="shared" si="34"/>
        <v>Subregioninės vietovės principas:</v>
      </c>
      <c r="C1422" s="676"/>
    </row>
    <row r="1423" spans="1:3" ht="28.8" x14ac:dyDescent="0.3">
      <c r="A1423" s="2" t="s">
        <v>736</v>
      </c>
      <c r="B1423" s="509" t="str">
        <f t="shared" si="34"/>
        <v>Ar siekiama, kad pagal priemonę finansuojami projektai apimtų visas VVG teritorijos seniūnijas?</v>
      </c>
      <c r="C1423" s="672" t="str">
        <f>'10'!V38</f>
        <v>Ne</v>
      </c>
    </row>
    <row r="1424" spans="1:3" x14ac:dyDescent="0.3">
      <c r="A1424" s="2" t="s">
        <v>737</v>
      </c>
      <c r="B1424" s="509" t="str">
        <f t="shared" si="34"/>
        <v>Pasirinkimo pagrindimas</v>
      </c>
      <c r="C1424" s="677">
        <f>'10'!V39</f>
        <v>0</v>
      </c>
    </row>
    <row r="1425" spans="1:3" x14ac:dyDescent="0.3">
      <c r="A1425" s="2" t="s">
        <v>738</v>
      </c>
      <c r="B1425" s="680" t="str">
        <f t="shared" si="34"/>
        <v>Partnerystės principas:</v>
      </c>
      <c r="C1425" s="676"/>
    </row>
    <row r="1426" spans="1:3" ht="28.8" x14ac:dyDescent="0.3">
      <c r="A1426" s="2" t="s">
        <v>739</v>
      </c>
      <c r="B1426" s="509" t="str">
        <f t="shared" si="34"/>
        <v>Ar siekiama, kad pagal priemonę finansuojami projektai būtų vykdomi su partneriais?</v>
      </c>
      <c r="C1426" s="672" t="str">
        <f>'10'!V41</f>
        <v>Ne</v>
      </c>
    </row>
    <row r="1427" spans="1:3" x14ac:dyDescent="0.3">
      <c r="A1427" s="2" t="s">
        <v>740</v>
      </c>
      <c r="B1427" s="509" t="str">
        <f t="shared" si="34"/>
        <v>Pasirinkimo pagrindimas</v>
      </c>
      <c r="C1427" s="677">
        <f>'10'!V42</f>
        <v>0</v>
      </c>
    </row>
    <row r="1428" spans="1:3" x14ac:dyDescent="0.3">
      <c r="A1428" s="2" t="s">
        <v>741</v>
      </c>
      <c r="B1428" s="680" t="str">
        <f t="shared" si="34"/>
        <v>Inovacijų principas:</v>
      </c>
      <c r="C1428" s="676"/>
    </row>
    <row r="1429" spans="1:3" ht="28.8" x14ac:dyDescent="0.3">
      <c r="A1429" s="2" t="s">
        <v>742</v>
      </c>
      <c r="B1429" s="509" t="str">
        <f t="shared" si="34"/>
        <v>Ar siekiama, kad pagal priemonę finansuojami projektai būtų skirti inovacijoms vietos lygiu diegti?</v>
      </c>
      <c r="C1429" s="672" t="str">
        <f>'10'!V44</f>
        <v>Ne</v>
      </c>
    </row>
    <row r="1430" spans="1:3" x14ac:dyDescent="0.3">
      <c r="A1430" s="2" t="s">
        <v>743</v>
      </c>
      <c r="B1430" s="509" t="str">
        <f t="shared" si="34"/>
        <v>Pasirinkimo pagrindimas</v>
      </c>
      <c r="C1430" s="677">
        <f>'10'!V45</f>
        <v>0</v>
      </c>
    </row>
    <row r="1431" spans="1:3" ht="28.8" x14ac:dyDescent="0.3">
      <c r="A1431" s="2" t="s">
        <v>744</v>
      </c>
      <c r="B1431" s="509" t="str">
        <f t="shared" si="34"/>
        <v>Planuojama paremti projektų, skirtų inovacijoms vietos lygiu diegti (rodiklis L710)</v>
      </c>
      <c r="C1431" s="679">
        <f>'10'!V46</f>
        <v>0</v>
      </c>
    </row>
    <row r="1432" spans="1:3" x14ac:dyDescent="0.3">
      <c r="A1432" s="2" t="s">
        <v>745</v>
      </c>
      <c r="B1432" s="680" t="str">
        <f t="shared" si="34"/>
        <v>Lyčių lygybė ir nediskriminavimas:</v>
      </c>
      <c r="C1432" s="676"/>
    </row>
    <row r="1433" spans="1:3" ht="28.8" x14ac:dyDescent="0.3">
      <c r="A1433" s="2" t="s">
        <v>746</v>
      </c>
      <c r="B1433" s="509" t="str">
        <f t="shared" si="34"/>
        <v>Ar pagal priemonę finansuojami projektai, skirti lyčių lygybei ir nediskriminavimui?</v>
      </c>
      <c r="C1433" s="672" t="str">
        <f>'10'!V48</f>
        <v>Ne</v>
      </c>
    </row>
    <row r="1434" spans="1:3" x14ac:dyDescent="0.3">
      <c r="A1434" s="2" t="s">
        <v>747</v>
      </c>
      <c r="B1434" s="509" t="str">
        <f t="shared" si="34"/>
        <v>Pasirinkimo pagrindimas (jei taip, kaip bus užtikrinta)</v>
      </c>
      <c r="C1434" s="677">
        <f>'10'!V49</f>
        <v>0</v>
      </c>
    </row>
    <row r="1435" spans="1:3" x14ac:dyDescent="0.3">
      <c r="A1435" s="2" t="s">
        <v>748</v>
      </c>
      <c r="B1435" s="680" t="str">
        <f t="shared" si="34"/>
        <v>Jaunimas:</v>
      </c>
      <c r="C1435" s="676"/>
    </row>
    <row r="1436" spans="1:3" x14ac:dyDescent="0.3">
      <c r="A1436" s="2" t="s">
        <v>749</v>
      </c>
      <c r="B1436" s="509" t="str">
        <f t="shared" si="34"/>
        <v>Ar pagal priemonę finansuojami projektai, skirti jaunimui?</v>
      </c>
      <c r="C1436" s="672" t="str">
        <f>'10'!V51</f>
        <v>Ne</v>
      </c>
    </row>
    <row r="1437" spans="1:3" x14ac:dyDescent="0.3">
      <c r="A1437" s="2" t="s">
        <v>750</v>
      </c>
      <c r="B1437" s="509" t="str">
        <f t="shared" si="34"/>
        <v>Pasirinkimo pagrindimas (jei taip, kaip bus užtikrinta)</v>
      </c>
      <c r="C1437" s="677">
        <f>'10'!V52</f>
        <v>0</v>
      </c>
    </row>
    <row r="1438" spans="1:3" x14ac:dyDescent="0.3">
      <c r="A1438" s="2" t="s">
        <v>751</v>
      </c>
      <c r="B1438" s="675" t="str">
        <f t="shared" si="34"/>
        <v>E dalis. Priemonės rezultato rodikliai:</v>
      </c>
      <c r="C1438" s="676"/>
    </row>
    <row r="1439" spans="1:3" x14ac:dyDescent="0.3">
      <c r="A1439" s="2" t="s">
        <v>752</v>
      </c>
      <c r="B1439" s="680" t="str">
        <f t="shared" si="34"/>
        <v>SP rezultato rodiklių taikymas priemonei:</v>
      </c>
      <c r="C1439" s="676"/>
    </row>
    <row r="1440" spans="1:3" x14ac:dyDescent="0.3">
      <c r="A1440" s="2" t="s">
        <v>753</v>
      </c>
      <c r="B1440" s="681" t="str">
        <f t="shared" si="34"/>
        <v>R.3</v>
      </c>
      <c r="C1440" s="687" t="str">
        <f>'10'!V55</f>
        <v>Ne</v>
      </c>
    </row>
    <row r="1441" spans="1:3" x14ac:dyDescent="0.3">
      <c r="A1441" s="2" t="s">
        <v>754</v>
      </c>
      <c r="B1441" s="681" t="str">
        <f t="shared" si="34"/>
        <v>R.37</v>
      </c>
      <c r="C1441" s="687" t="str">
        <f>'10'!V56</f>
        <v>Ne</v>
      </c>
    </row>
    <row r="1442" spans="1:3" x14ac:dyDescent="0.3">
      <c r="A1442" s="2" t="s">
        <v>755</v>
      </c>
      <c r="B1442" s="681" t="str">
        <f t="shared" si="34"/>
        <v>R.39</v>
      </c>
      <c r="C1442" s="687" t="str">
        <f>'10'!V57</f>
        <v>Ne</v>
      </c>
    </row>
    <row r="1443" spans="1:3" x14ac:dyDescent="0.3">
      <c r="A1443" s="2" t="s">
        <v>756</v>
      </c>
      <c r="B1443" s="681" t="str">
        <f t="shared" si="34"/>
        <v>R.41</v>
      </c>
      <c r="C1443" s="687" t="str">
        <f>'10'!V58</f>
        <v>Ne</v>
      </c>
    </row>
    <row r="1444" spans="1:3" x14ac:dyDescent="0.3">
      <c r="A1444" s="2" t="s">
        <v>757</v>
      </c>
      <c r="B1444" s="681" t="str">
        <f t="shared" si="34"/>
        <v>R.42</v>
      </c>
      <c r="C1444" s="687" t="str">
        <f>'10'!V59</f>
        <v>Ne</v>
      </c>
    </row>
    <row r="1445" spans="1:3" x14ac:dyDescent="0.3">
      <c r="A1445" s="2" t="s">
        <v>758</v>
      </c>
      <c r="B1445" s="680" t="str">
        <f t="shared" si="34"/>
        <v>VPS rodiklių taikymas priemonei:</v>
      </c>
      <c r="C1445" s="688"/>
    </row>
    <row r="1446" spans="1:3" x14ac:dyDescent="0.3">
      <c r="A1446" s="2" t="s">
        <v>759</v>
      </c>
      <c r="B1446" s="681" t="str">
        <f t="shared" si="34"/>
        <v>TRAK-P.1</v>
      </c>
      <c r="C1446" s="687" t="str">
        <f>'10'!V61</f>
        <v>Ne</v>
      </c>
    </row>
    <row r="1447" spans="1:3" x14ac:dyDescent="0.3">
      <c r="A1447" s="2" t="s">
        <v>760</v>
      </c>
      <c r="B1447" s="681" t="str">
        <f t="shared" si="34"/>
        <v>TRAK-P.2</v>
      </c>
      <c r="C1447" s="687" t="str">
        <f>'10'!V62</f>
        <v>Ne</v>
      </c>
    </row>
    <row r="1448" spans="1:3" x14ac:dyDescent="0.3">
      <c r="A1448" s="2" t="s">
        <v>761</v>
      </c>
      <c r="B1448" s="681" t="str">
        <f t="shared" si="34"/>
        <v>TRAK-P.3</v>
      </c>
      <c r="C1448" s="687" t="str">
        <f>'10'!V63</f>
        <v>Ne</v>
      </c>
    </row>
    <row r="1449" spans="1:3" x14ac:dyDescent="0.3">
      <c r="A1449" s="2" t="s">
        <v>762</v>
      </c>
      <c r="B1449" s="681" t="str">
        <f t="shared" si="34"/>
        <v>TRAK-P.4</v>
      </c>
      <c r="C1449" s="687" t="str">
        <f>'10'!V64</f>
        <v>Ne</v>
      </c>
    </row>
    <row r="1450" spans="1:3" x14ac:dyDescent="0.3">
      <c r="A1450" s="2" t="s">
        <v>763</v>
      </c>
      <c r="B1450" s="681" t="str">
        <f t="shared" si="34"/>
        <v>TRAK-P.5</v>
      </c>
      <c r="C1450" s="687" t="str">
        <f>'10'!V65</f>
        <v>Ne</v>
      </c>
    </row>
    <row r="1451" spans="1:3" x14ac:dyDescent="0.3">
      <c r="A1451" s="2" t="s">
        <v>764</v>
      </c>
      <c r="B1451" s="681" t="str">
        <f t="shared" si="34"/>
        <v>TRAK-P.6</v>
      </c>
      <c r="C1451" s="687" t="str">
        <f>'10'!V66</f>
        <v>Ne</v>
      </c>
    </row>
    <row r="1452" spans="1:3" x14ac:dyDescent="0.3">
      <c r="A1452" s="2" t="s">
        <v>765</v>
      </c>
      <c r="B1452" s="681" t="str">
        <f t="shared" si="34"/>
        <v>TRAK-P.7</v>
      </c>
      <c r="C1452" s="687" t="str">
        <f>'10'!V67</f>
        <v>Ne</v>
      </c>
    </row>
    <row r="1453" spans="1:3" x14ac:dyDescent="0.3">
      <c r="A1453" s="2" t="s">
        <v>766</v>
      </c>
      <c r="B1453" s="681" t="str">
        <f t="shared" si="34"/>
        <v>TRAK-P.8</v>
      </c>
      <c r="C1453" s="687" t="str">
        <f>'10'!V68</f>
        <v>Ne</v>
      </c>
    </row>
    <row r="1454" spans="1:3" x14ac:dyDescent="0.3">
      <c r="A1454" s="2" t="s">
        <v>767</v>
      </c>
      <c r="B1454" s="681" t="str">
        <f t="shared" si="34"/>
        <v>TRAK-P.9</v>
      </c>
      <c r="C1454" s="687" t="str">
        <f>'10'!V69</f>
        <v>Ne</v>
      </c>
    </row>
    <row r="1455" spans="1:3" x14ac:dyDescent="0.3">
      <c r="A1455" s="2" t="s">
        <v>768</v>
      </c>
      <c r="B1455" s="683" t="str">
        <f t="shared" si="34"/>
        <v>TRAK-P.10</v>
      </c>
      <c r="C1455" s="689" t="str">
        <f>'10'!V70</f>
        <v>Ne</v>
      </c>
    </row>
    <row r="1456" spans="1:3" x14ac:dyDescent="0.3">
      <c r="A1456" s="2" t="s">
        <v>769</v>
      </c>
      <c r="B1456" s="675" t="str">
        <f t="shared" si="34"/>
        <v>F dalis. Pagal priemonę remiamų projektų pobūdis:</v>
      </c>
      <c r="C1456" s="676"/>
    </row>
    <row r="1457" spans="1:3" x14ac:dyDescent="0.3">
      <c r="A1457" s="2" t="s">
        <v>770</v>
      </c>
      <c r="B1457" s="671" t="str">
        <f t="shared" ref="B1457:B1466" si="35">B1380</f>
        <v>Remiami pelno projektai</v>
      </c>
      <c r="C1457" s="672" t="str">
        <f>'10'!V72</f>
        <v>Ne</v>
      </c>
    </row>
    <row r="1458" spans="1:3" ht="57.6" x14ac:dyDescent="0.3">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57.6" x14ac:dyDescent="0.3">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3.2" x14ac:dyDescent="0.3">
      <c r="A1460" s="2" t="s">
        <v>773</v>
      </c>
      <c r="B1460" s="673" t="str">
        <f t="shared" si="35"/>
        <v>Remiami projektai, susiję su atsinaujinančios energijos gamybos pajėgumais, įskaitant biologinę (aktualu rodikliui L803)</v>
      </c>
      <c r="C1460" s="672" t="str">
        <f>'10'!V75</f>
        <v>Ne</v>
      </c>
    </row>
    <row r="1461" spans="1:3" ht="43.2" x14ac:dyDescent="0.3">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28.8" x14ac:dyDescent="0.3">
      <c r="A1462" s="2" t="s">
        <v>775</v>
      </c>
      <c r="B1462" s="673" t="str">
        <f t="shared" si="35"/>
        <v>Remiami projektai, kurie kuria darbo vietas (aktualu rodikliui L805)</v>
      </c>
      <c r="C1462" s="672" t="str">
        <f>'10'!V77</f>
        <v>Ne</v>
      </c>
    </row>
    <row r="1463" spans="1:3" ht="28.8" x14ac:dyDescent="0.3">
      <c r="A1463" s="2" t="s">
        <v>776</v>
      </c>
      <c r="B1463" s="673" t="str">
        <f t="shared" si="35"/>
        <v>Remiami kaimo verslų, įskaitant bioekonomiką, projektai (aktualu rodikliui L 806)</v>
      </c>
      <c r="C1463" s="672" t="str">
        <f>'10'!V78</f>
        <v>Ne</v>
      </c>
    </row>
    <row r="1464" spans="1:3" ht="28.8" x14ac:dyDescent="0.3">
      <c r="A1464" s="2" t="s">
        <v>777</v>
      </c>
      <c r="B1464" s="673" t="str">
        <f t="shared" si="35"/>
        <v>Remiami projektai, susiję su sumanių kaimų strategijomis (aktualu rodikliui L807)</v>
      </c>
      <c r="C1464" s="672" t="str">
        <f>'10'!V79</f>
        <v>Ne</v>
      </c>
    </row>
    <row r="1465" spans="1:3" ht="28.8" x14ac:dyDescent="0.3">
      <c r="A1465" s="2" t="s">
        <v>778</v>
      </c>
      <c r="B1465" s="673" t="str">
        <f t="shared" si="35"/>
        <v>Remiami projektai, gerinantys paslaugų prieinamumą ir infrastruktūrą (aktualu rodikliui L808)</v>
      </c>
      <c r="C1465" s="672" t="str">
        <f>'10'!V80</f>
        <v>Ne</v>
      </c>
    </row>
    <row r="1466" spans="1:3" ht="28.8" x14ac:dyDescent="0.3">
      <c r="A1466" s="2" t="s">
        <v>779</v>
      </c>
      <c r="B1466" s="673" t="str">
        <f t="shared" si="35"/>
        <v>Remiami socialinės įtraukties projektai (aktualu rodikliui L809)</v>
      </c>
      <c r="C1466" s="672" t="str">
        <f>'10'!V81</f>
        <v>Ne</v>
      </c>
    </row>
    <row r="1467" spans="1:3" x14ac:dyDescent="0.3">
      <c r="B1467" s="649"/>
      <c r="C1467" s="685"/>
    </row>
    <row r="1468" spans="1:3" x14ac:dyDescent="0.3">
      <c r="A1468" s="1"/>
      <c r="B1468" s="362"/>
      <c r="C1468" s="686" t="str">
        <f>'10'!W6</f>
        <v>20 priemonė</v>
      </c>
    </row>
    <row r="1469" spans="1:3" x14ac:dyDescent="0.3">
      <c r="A1469" s="2" t="s">
        <v>188</v>
      </c>
      <c r="B1469" s="509" t="str">
        <f>B1392</f>
        <v>Priemonės pavadinimas</v>
      </c>
      <c r="C1469" s="670">
        <f>'10'!W7</f>
        <v>0</v>
      </c>
    </row>
    <row r="1470" spans="1:3" x14ac:dyDescent="0.3">
      <c r="A1470" s="2" t="s">
        <v>189</v>
      </c>
      <c r="B1470" s="671" t="str">
        <f t="shared" ref="B1470:B1533" si="36">B1393</f>
        <v>Priemonės rūšis</v>
      </c>
      <c r="C1470" s="670">
        <f>'10'!W8</f>
        <v>0</v>
      </c>
    </row>
    <row r="1471" spans="1:3" x14ac:dyDescent="0.3">
      <c r="A1471" s="2" t="s">
        <v>190</v>
      </c>
      <c r="B1471" s="671" t="str">
        <f t="shared" si="36"/>
        <v>VVG teritorijos poreikių, kuriuos tenkina priemonė, skaičius</v>
      </c>
      <c r="C1471" s="670">
        <f>'10'!W9</f>
        <v>0</v>
      </c>
    </row>
    <row r="1472" spans="1:3" x14ac:dyDescent="0.3">
      <c r="A1472" s="2" t="s">
        <v>191</v>
      </c>
      <c r="B1472" s="671" t="str">
        <f t="shared" si="36"/>
        <v>BŽŪP tikslų, kuriuos įgyvendina priemonė, skaičius</v>
      </c>
      <c r="C1472" s="670">
        <f>'10'!W10</f>
        <v>0</v>
      </c>
    </row>
    <row r="1473" spans="1:3" x14ac:dyDescent="0.3">
      <c r="A1473" s="2" t="s">
        <v>192</v>
      </c>
      <c r="B1473" s="671" t="str">
        <f t="shared" si="36"/>
        <v>Pagrindinis BŽŪP tikslas, kurį įgyvendina VPS priemonė</v>
      </c>
      <c r="C1473" s="672" t="str">
        <f>'10'!W11</f>
        <v>Pasirinkite</v>
      </c>
    </row>
    <row r="1474" spans="1:3" ht="28.8" x14ac:dyDescent="0.3">
      <c r="A1474" s="2" t="s">
        <v>193</v>
      </c>
      <c r="B1474" s="673" t="str">
        <f t="shared" si="36"/>
        <v>Ar priemonė prisideda prie 4 konkretaus BŽŪP tikslo? (tikslas nurodytas 5 lape)</v>
      </c>
      <c r="C1474" s="672" t="str">
        <f>'10'!W12</f>
        <v>Ne</v>
      </c>
    </row>
    <row r="1475" spans="1:3" ht="28.8" x14ac:dyDescent="0.3">
      <c r="A1475" s="2" t="s">
        <v>194</v>
      </c>
      <c r="B1475" s="673" t="str">
        <f t="shared" si="36"/>
        <v>Ar priemonė prisideda prie 5 konkretaus BŽŪP tikslo? (tikslas nurodytas 5 lape)</v>
      </c>
      <c r="C1475" s="672" t="str">
        <f>'10'!W13</f>
        <v>Ne</v>
      </c>
    </row>
    <row r="1476" spans="1:3" ht="28.8" x14ac:dyDescent="0.3">
      <c r="A1476" s="2" t="s">
        <v>195</v>
      </c>
      <c r="B1476" s="673" t="str">
        <f t="shared" si="36"/>
        <v>Ar priemonė prisideda prie 6 konkretaus BŽŪP tikslo? (tikslas nurodytas 5 lape)</v>
      </c>
      <c r="C1476" s="672" t="str">
        <f>'10'!W14</f>
        <v>Ne</v>
      </c>
    </row>
    <row r="1477" spans="1:3" ht="28.8" x14ac:dyDescent="0.3">
      <c r="A1477" s="2" t="s">
        <v>196</v>
      </c>
      <c r="B1477" s="673" t="str">
        <f t="shared" si="36"/>
        <v>Ar priemonė prisideda prie 9 konkretaus BŽŪP tikslo? (tikslas nurodytas 5 lape)</v>
      </c>
      <c r="C1477" s="672" t="str">
        <f>'10'!W15</f>
        <v>Ne</v>
      </c>
    </row>
    <row r="1478" spans="1:3" x14ac:dyDescent="0.3">
      <c r="A1478" s="2" t="s">
        <v>94</v>
      </c>
      <c r="B1478" s="675" t="str">
        <f t="shared" si="36"/>
        <v>A dalis. Priemonės intervencijos logika:</v>
      </c>
      <c r="C1478" s="676"/>
    </row>
    <row r="1479" spans="1:3" ht="43.2" x14ac:dyDescent="0.3">
      <c r="A1479" s="2" t="s">
        <v>197</v>
      </c>
      <c r="B1479" s="673" t="str">
        <f t="shared" si="36"/>
        <v>Priemonės tikslas, ryšys su pagrindiniu BŽŪP tikslu ir VVG teritorijos poreikiais (problemomis ir (arba) potencialu), ryšys su VPS tema (jei taikoma)</v>
      </c>
      <c r="C1479" s="677">
        <f>'10'!W17</f>
        <v>0</v>
      </c>
    </row>
    <row r="1480" spans="1:3" x14ac:dyDescent="0.3">
      <c r="A1480" s="2" t="s">
        <v>198</v>
      </c>
      <c r="B1480" s="671" t="str">
        <f t="shared" si="36"/>
        <v>Pokytis, kurio siekiama VPS priemone</v>
      </c>
      <c r="C1480" s="677">
        <f>'10'!W18</f>
        <v>0</v>
      </c>
    </row>
    <row r="1481" spans="1:3" ht="28.8" x14ac:dyDescent="0.3">
      <c r="A1481" s="2" t="s">
        <v>199</v>
      </c>
      <c r="B1481" s="509" t="str">
        <f t="shared" si="36"/>
        <v>Kaip priemonė prisidės prie horizontalaus tikslo d įgyvendinimo? (pildoma, jei taikoma)</v>
      </c>
      <c r="C1481" s="677">
        <f>'10'!W19</f>
        <v>0</v>
      </c>
    </row>
    <row r="1482" spans="1:3" ht="28.8" x14ac:dyDescent="0.3">
      <c r="A1482" s="2" t="s">
        <v>200</v>
      </c>
      <c r="B1482" s="509" t="str">
        <f t="shared" si="36"/>
        <v>Kaip priemonė prisidės prie horizontalaus tikslo e įgyvendinimo? (pildoma, jei taikoma)</v>
      </c>
      <c r="C1482" s="677">
        <f>'10'!W20</f>
        <v>0</v>
      </c>
    </row>
    <row r="1483" spans="1:3" ht="28.8" x14ac:dyDescent="0.3">
      <c r="A1483" s="2" t="s">
        <v>201</v>
      </c>
      <c r="B1483" s="509" t="str">
        <f t="shared" si="36"/>
        <v>Kaip priemonė prisidės prie horizontalaus tikslo f įgyvendinimo? (pildoma, jei taikoma)</v>
      </c>
      <c r="C1483" s="677">
        <f>'10'!W21</f>
        <v>0</v>
      </c>
    </row>
    <row r="1484" spans="1:3" ht="28.8" x14ac:dyDescent="0.3">
      <c r="A1484" s="2" t="s">
        <v>202</v>
      </c>
      <c r="B1484" s="509" t="str">
        <f t="shared" si="36"/>
        <v>Kaip priemonė prisidės prie horizontalaus tikslo i įgyvendinimo? (pildoma, jei taikoma)</v>
      </c>
      <c r="C1484" s="677">
        <f>'10'!W22</f>
        <v>0</v>
      </c>
    </row>
    <row r="1485" spans="1:3" ht="28.8" x14ac:dyDescent="0.3">
      <c r="A1485" s="2" t="s">
        <v>203</v>
      </c>
      <c r="B1485" s="675" t="str">
        <f t="shared" si="36"/>
        <v>B dalis. Pareiškėjų ir projektų tinkamumo sąlygos, projektų atrankos principai:</v>
      </c>
      <c r="C1485" s="676"/>
    </row>
    <row r="1486" spans="1:3" x14ac:dyDescent="0.3">
      <c r="A1486" s="2" t="s">
        <v>204</v>
      </c>
      <c r="B1486" s="509" t="str">
        <f t="shared" si="36"/>
        <v>Pagal priemonę remiamos veiklos</v>
      </c>
      <c r="C1486" s="677">
        <f>'10'!W24</f>
        <v>0</v>
      </c>
    </row>
    <row r="1487" spans="1:3" ht="28.8" x14ac:dyDescent="0.3">
      <c r="A1487" s="2" t="s">
        <v>205</v>
      </c>
      <c r="B1487" s="671" t="str">
        <f t="shared" si="36"/>
        <v>Tinkami pareiškėjai ir partneriai (jei taikomas reikalavimas projektus įgyvendinti su partneriais)</v>
      </c>
      <c r="C1487" s="677">
        <f>'10'!W25</f>
        <v>0</v>
      </c>
    </row>
    <row r="1488" spans="1:3" ht="28.8" x14ac:dyDescent="0.3">
      <c r="A1488" s="2" t="s">
        <v>206</v>
      </c>
      <c r="B1488" s="671" t="str">
        <f t="shared" si="36"/>
        <v>Priemonės tikslinė grupė (pildoma, jei nesutampa su tinkamais pareiškėjais ir (arba) partneriais)</v>
      </c>
      <c r="C1488" s="677">
        <f>'10'!W26</f>
        <v>0</v>
      </c>
    </row>
    <row r="1489" spans="1:3" x14ac:dyDescent="0.3">
      <c r="A1489" s="2" t="s">
        <v>725</v>
      </c>
      <c r="B1489" s="509" t="str">
        <f t="shared" si="36"/>
        <v>Tinkamumo sąlygos pareiškėjams ir projektams</v>
      </c>
      <c r="C1489" s="677">
        <f>'10'!W27</f>
        <v>0</v>
      </c>
    </row>
    <row r="1490" spans="1:3" x14ac:dyDescent="0.3">
      <c r="A1490" s="2" t="s">
        <v>726</v>
      </c>
      <c r="B1490" s="673" t="str">
        <f t="shared" si="36"/>
        <v>Projektų atrankos principai</v>
      </c>
      <c r="C1490" s="677">
        <f>'10'!W28</f>
        <v>0</v>
      </c>
    </row>
    <row r="1491" spans="1:3" x14ac:dyDescent="0.3">
      <c r="A1491" s="2" t="s">
        <v>727</v>
      </c>
      <c r="B1491" s="509" t="str">
        <f t="shared" si="36"/>
        <v>Planuojamų kvietimų teikti paraiškas skaičius</v>
      </c>
      <c r="C1491" s="670">
        <f>'10'!W29</f>
        <v>0</v>
      </c>
    </row>
    <row r="1492" spans="1:3" x14ac:dyDescent="0.3">
      <c r="A1492" s="2" t="s">
        <v>728</v>
      </c>
      <c r="B1492" s="651" t="str">
        <f t="shared" si="36"/>
        <v>C dalis. Paramos dydžiai:</v>
      </c>
      <c r="C1492" s="676"/>
    </row>
    <row r="1493" spans="1:3" x14ac:dyDescent="0.3">
      <c r="A1493" s="2" t="s">
        <v>729</v>
      </c>
      <c r="B1493" s="509" t="str">
        <f t="shared" si="36"/>
        <v>Didžiausia paramos suma vietos projektui, Eur</v>
      </c>
      <c r="C1493" s="677">
        <f>'10'!W31</f>
        <v>0</v>
      </c>
    </row>
    <row r="1494" spans="1:3" x14ac:dyDescent="0.3">
      <c r="A1494" s="2" t="s">
        <v>730</v>
      </c>
      <c r="B1494" s="509" t="str">
        <f t="shared" si="36"/>
        <v xml:space="preserve">Paramos lyginamoji dalis, proc. </v>
      </c>
      <c r="C1494" s="677">
        <f>'10'!W32</f>
        <v>0</v>
      </c>
    </row>
    <row r="1495" spans="1:3" x14ac:dyDescent="0.3">
      <c r="A1495" s="2" t="s">
        <v>731</v>
      </c>
      <c r="B1495" s="509" t="str">
        <f t="shared" si="36"/>
        <v>Planuojama paramos suma priemonei, Eur</v>
      </c>
      <c r="C1495" s="678">
        <f>'10'!W33</f>
        <v>0</v>
      </c>
    </row>
    <row r="1496" spans="1:3" x14ac:dyDescent="0.3">
      <c r="A1496" s="2" t="s">
        <v>732</v>
      </c>
      <c r="B1496" s="509" t="str">
        <f t="shared" si="36"/>
        <v>Planuojama paremti projektų (rodiklis L700)</v>
      </c>
      <c r="C1496" s="679">
        <f>'10'!W34</f>
        <v>0</v>
      </c>
    </row>
    <row r="1497" spans="1:3" x14ac:dyDescent="0.3">
      <c r="A1497" s="2" t="s">
        <v>733</v>
      </c>
      <c r="B1497" s="509" t="str">
        <f t="shared" si="36"/>
        <v>Paaiškinimas, kaip nustatyta rodiklio L700 reikšmė</v>
      </c>
      <c r="C1497" s="677">
        <f>'10'!W35</f>
        <v>0</v>
      </c>
    </row>
    <row r="1498" spans="1:3" ht="28.8" x14ac:dyDescent="0.3">
      <c r="A1498" s="2" t="s">
        <v>734</v>
      </c>
      <c r="B1498" s="651" t="str">
        <f t="shared" si="36"/>
        <v>D dalis. Priemonės indėlis į ES ir nacionalinių horizontaliųjų principų įgyvendinimą:</v>
      </c>
      <c r="C1498" s="676"/>
    </row>
    <row r="1499" spans="1:3" x14ac:dyDescent="0.3">
      <c r="A1499" s="2" t="s">
        <v>735</v>
      </c>
      <c r="B1499" s="680" t="str">
        <f t="shared" si="36"/>
        <v>Subregioninės vietovės principas:</v>
      </c>
      <c r="C1499" s="676"/>
    </row>
    <row r="1500" spans="1:3" ht="28.8" x14ac:dyDescent="0.3">
      <c r="A1500" s="2" t="s">
        <v>736</v>
      </c>
      <c r="B1500" s="509" t="str">
        <f t="shared" si="36"/>
        <v>Ar siekiama, kad pagal priemonę finansuojami projektai apimtų visas VVG teritorijos seniūnijas?</v>
      </c>
      <c r="C1500" s="672" t="str">
        <f>'10'!W38</f>
        <v>Ne</v>
      </c>
    </row>
    <row r="1501" spans="1:3" x14ac:dyDescent="0.3">
      <c r="A1501" s="2" t="s">
        <v>737</v>
      </c>
      <c r="B1501" s="509" t="str">
        <f t="shared" si="36"/>
        <v>Pasirinkimo pagrindimas</v>
      </c>
      <c r="C1501" s="677">
        <f>'10'!W39</f>
        <v>0</v>
      </c>
    </row>
    <row r="1502" spans="1:3" x14ac:dyDescent="0.3">
      <c r="A1502" s="2" t="s">
        <v>738</v>
      </c>
      <c r="B1502" s="680" t="str">
        <f t="shared" si="36"/>
        <v>Partnerystės principas:</v>
      </c>
      <c r="C1502" s="676"/>
    </row>
    <row r="1503" spans="1:3" ht="28.8" x14ac:dyDescent="0.3">
      <c r="A1503" s="2" t="s">
        <v>739</v>
      </c>
      <c r="B1503" s="509" t="str">
        <f t="shared" si="36"/>
        <v>Ar siekiama, kad pagal priemonę finansuojami projektai būtų vykdomi su partneriais?</v>
      </c>
      <c r="C1503" s="672" t="str">
        <f>'10'!W41</f>
        <v>Ne</v>
      </c>
    </row>
    <row r="1504" spans="1:3" x14ac:dyDescent="0.3">
      <c r="A1504" s="2" t="s">
        <v>740</v>
      </c>
      <c r="B1504" s="509" t="str">
        <f t="shared" si="36"/>
        <v>Pasirinkimo pagrindimas</v>
      </c>
      <c r="C1504" s="677">
        <f>'10'!W42</f>
        <v>0</v>
      </c>
    </row>
    <row r="1505" spans="1:3" x14ac:dyDescent="0.3">
      <c r="A1505" s="2" t="s">
        <v>741</v>
      </c>
      <c r="B1505" s="680" t="str">
        <f t="shared" si="36"/>
        <v>Inovacijų principas:</v>
      </c>
      <c r="C1505" s="676"/>
    </row>
    <row r="1506" spans="1:3" ht="28.8" x14ac:dyDescent="0.3">
      <c r="A1506" s="2" t="s">
        <v>742</v>
      </c>
      <c r="B1506" s="509" t="str">
        <f t="shared" si="36"/>
        <v>Ar siekiama, kad pagal priemonę finansuojami projektai būtų skirti inovacijoms vietos lygiu diegti?</v>
      </c>
      <c r="C1506" s="672" t="str">
        <f>'10'!W44</f>
        <v>Ne</v>
      </c>
    </row>
    <row r="1507" spans="1:3" x14ac:dyDescent="0.3">
      <c r="A1507" s="2" t="s">
        <v>743</v>
      </c>
      <c r="B1507" s="509" t="str">
        <f t="shared" si="36"/>
        <v>Pasirinkimo pagrindimas</v>
      </c>
      <c r="C1507" s="677">
        <f>'10'!W45</f>
        <v>0</v>
      </c>
    </row>
    <row r="1508" spans="1:3" ht="28.8" x14ac:dyDescent="0.3">
      <c r="A1508" s="2" t="s">
        <v>744</v>
      </c>
      <c r="B1508" s="509" t="str">
        <f t="shared" si="36"/>
        <v>Planuojama paremti projektų, skirtų inovacijoms vietos lygiu diegti (rodiklis L710)</v>
      </c>
      <c r="C1508" s="679">
        <f>'10'!W46</f>
        <v>0</v>
      </c>
    </row>
    <row r="1509" spans="1:3" x14ac:dyDescent="0.3">
      <c r="A1509" s="2" t="s">
        <v>745</v>
      </c>
      <c r="B1509" s="680" t="str">
        <f t="shared" si="36"/>
        <v>Lyčių lygybė ir nediskriminavimas:</v>
      </c>
      <c r="C1509" s="676"/>
    </row>
    <row r="1510" spans="1:3" ht="28.8" x14ac:dyDescent="0.3">
      <c r="A1510" s="2" t="s">
        <v>746</v>
      </c>
      <c r="B1510" s="509" t="str">
        <f t="shared" si="36"/>
        <v>Ar pagal priemonę finansuojami projektai, skirti lyčių lygybei ir nediskriminavimui?</v>
      </c>
      <c r="C1510" s="672" t="str">
        <f>'10'!W48</f>
        <v>Ne</v>
      </c>
    </row>
    <row r="1511" spans="1:3" x14ac:dyDescent="0.3">
      <c r="A1511" s="2" t="s">
        <v>747</v>
      </c>
      <c r="B1511" s="509" t="str">
        <f t="shared" si="36"/>
        <v>Pasirinkimo pagrindimas (jei taip, kaip bus užtikrinta)</v>
      </c>
      <c r="C1511" s="677">
        <f>'10'!W49</f>
        <v>0</v>
      </c>
    </row>
    <row r="1512" spans="1:3" x14ac:dyDescent="0.3">
      <c r="A1512" s="2" t="s">
        <v>748</v>
      </c>
      <c r="B1512" s="680" t="str">
        <f t="shared" si="36"/>
        <v>Jaunimas:</v>
      </c>
      <c r="C1512" s="676"/>
    </row>
    <row r="1513" spans="1:3" x14ac:dyDescent="0.3">
      <c r="A1513" s="2" t="s">
        <v>749</v>
      </c>
      <c r="B1513" s="509" t="str">
        <f t="shared" si="36"/>
        <v>Ar pagal priemonę finansuojami projektai, skirti jaunimui?</v>
      </c>
      <c r="C1513" s="672" t="str">
        <f>'10'!W51</f>
        <v>Ne</v>
      </c>
    </row>
    <row r="1514" spans="1:3" x14ac:dyDescent="0.3">
      <c r="A1514" s="2" t="s">
        <v>750</v>
      </c>
      <c r="B1514" s="509" t="str">
        <f t="shared" si="36"/>
        <v>Pasirinkimo pagrindimas (jei taip, kaip bus užtikrinta)</v>
      </c>
      <c r="C1514" s="677">
        <f>'10'!W52</f>
        <v>0</v>
      </c>
    </row>
    <row r="1515" spans="1:3" x14ac:dyDescent="0.3">
      <c r="A1515" s="2" t="s">
        <v>751</v>
      </c>
      <c r="B1515" s="675" t="str">
        <f t="shared" si="36"/>
        <v>E dalis. Priemonės rezultato rodikliai:</v>
      </c>
      <c r="C1515" s="676"/>
    </row>
    <row r="1516" spans="1:3" x14ac:dyDescent="0.3">
      <c r="A1516" s="2" t="s">
        <v>752</v>
      </c>
      <c r="B1516" s="680" t="str">
        <f t="shared" si="36"/>
        <v>SP rezultato rodiklių taikymas priemonei:</v>
      </c>
      <c r="C1516" s="676"/>
    </row>
    <row r="1517" spans="1:3" x14ac:dyDescent="0.3">
      <c r="A1517" s="2" t="s">
        <v>753</v>
      </c>
      <c r="B1517" s="681" t="str">
        <f t="shared" si="36"/>
        <v>R.3</v>
      </c>
      <c r="C1517" s="687" t="str">
        <f>'10'!W55</f>
        <v>Ne</v>
      </c>
    </row>
    <row r="1518" spans="1:3" x14ac:dyDescent="0.3">
      <c r="A1518" s="2" t="s">
        <v>754</v>
      </c>
      <c r="B1518" s="681" t="str">
        <f t="shared" si="36"/>
        <v>R.37</v>
      </c>
      <c r="C1518" s="687" t="str">
        <f>'10'!W56</f>
        <v>Ne</v>
      </c>
    </row>
    <row r="1519" spans="1:3" x14ac:dyDescent="0.3">
      <c r="A1519" s="2" t="s">
        <v>755</v>
      </c>
      <c r="B1519" s="681" t="str">
        <f t="shared" si="36"/>
        <v>R.39</v>
      </c>
      <c r="C1519" s="687" t="str">
        <f>'10'!W57</f>
        <v>Ne</v>
      </c>
    </row>
    <row r="1520" spans="1:3" x14ac:dyDescent="0.3">
      <c r="A1520" s="2" t="s">
        <v>756</v>
      </c>
      <c r="B1520" s="681" t="str">
        <f t="shared" si="36"/>
        <v>R.41</v>
      </c>
      <c r="C1520" s="687" t="str">
        <f>'10'!W58</f>
        <v>Ne</v>
      </c>
    </row>
    <row r="1521" spans="1:3" x14ac:dyDescent="0.3">
      <c r="A1521" s="2" t="s">
        <v>757</v>
      </c>
      <c r="B1521" s="681" t="str">
        <f t="shared" si="36"/>
        <v>R.42</v>
      </c>
      <c r="C1521" s="687" t="str">
        <f>'10'!W59</f>
        <v>Ne</v>
      </c>
    </row>
    <row r="1522" spans="1:3" x14ac:dyDescent="0.3">
      <c r="A1522" s="2" t="s">
        <v>758</v>
      </c>
      <c r="B1522" s="680" t="str">
        <f t="shared" si="36"/>
        <v>VPS rodiklių taikymas priemonei:</v>
      </c>
      <c r="C1522" s="688"/>
    </row>
    <row r="1523" spans="1:3" x14ac:dyDescent="0.3">
      <c r="A1523" s="2" t="s">
        <v>759</v>
      </c>
      <c r="B1523" s="681" t="str">
        <f t="shared" si="36"/>
        <v>TRAK-P.1</v>
      </c>
      <c r="C1523" s="687" t="str">
        <f>'10'!W61</f>
        <v>Ne</v>
      </c>
    </row>
    <row r="1524" spans="1:3" x14ac:dyDescent="0.3">
      <c r="A1524" s="2" t="s">
        <v>760</v>
      </c>
      <c r="B1524" s="681" t="str">
        <f t="shared" si="36"/>
        <v>TRAK-P.2</v>
      </c>
      <c r="C1524" s="687" t="str">
        <f>'10'!W62</f>
        <v>Ne</v>
      </c>
    </row>
    <row r="1525" spans="1:3" x14ac:dyDescent="0.3">
      <c r="A1525" s="2" t="s">
        <v>761</v>
      </c>
      <c r="B1525" s="681" t="str">
        <f t="shared" si="36"/>
        <v>TRAK-P.3</v>
      </c>
      <c r="C1525" s="687" t="str">
        <f>'10'!W63</f>
        <v>Ne</v>
      </c>
    </row>
    <row r="1526" spans="1:3" x14ac:dyDescent="0.3">
      <c r="A1526" s="2" t="s">
        <v>762</v>
      </c>
      <c r="B1526" s="681" t="str">
        <f t="shared" si="36"/>
        <v>TRAK-P.4</v>
      </c>
      <c r="C1526" s="687" t="str">
        <f>'10'!W64</f>
        <v>Ne</v>
      </c>
    </row>
    <row r="1527" spans="1:3" x14ac:dyDescent="0.3">
      <c r="A1527" s="2" t="s">
        <v>763</v>
      </c>
      <c r="B1527" s="681" t="str">
        <f t="shared" si="36"/>
        <v>TRAK-P.5</v>
      </c>
      <c r="C1527" s="687" t="str">
        <f>'10'!W65</f>
        <v>Ne</v>
      </c>
    </row>
    <row r="1528" spans="1:3" x14ac:dyDescent="0.3">
      <c r="A1528" s="2" t="s">
        <v>764</v>
      </c>
      <c r="B1528" s="681" t="str">
        <f t="shared" si="36"/>
        <v>TRAK-P.6</v>
      </c>
      <c r="C1528" s="687" t="str">
        <f>'10'!W66</f>
        <v>Ne</v>
      </c>
    </row>
    <row r="1529" spans="1:3" x14ac:dyDescent="0.3">
      <c r="A1529" s="2" t="s">
        <v>765</v>
      </c>
      <c r="B1529" s="681" t="str">
        <f t="shared" si="36"/>
        <v>TRAK-P.7</v>
      </c>
      <c r="C1529" s="687" t="str">
        <f>'10'!W67</f>
        <v>Ne</v>
      </c>
    </row>
    <row r="1530" spans="1:3" x14ac:dyDescent="0.3">
      <c r="A1530" s="2" t="s">
        <v>766</v>
      </c>
      <c r="B1530" s="681" t="str">
        <f t="shared" si="36"/>
        <v>TRAK-P.8</v>
      </c>
      <c r="C1530" s="687" t="str">
        <f>'10'!W68</f>
        <v>Ne</v>
      </c>
    </row>
    <row r="1531" spans="1:3" x14ac:dyDescent="0.3">
      <c r="A1531" s="2" t="s">
        <v>767</v>
      </c>
      <c r="B1531" s="681" t="str">
        <f t="shared" si="36"/>
        <v>TRAK-P.9</v>
      </c>
      <c r="C1531" s="687" t="str">
        <f>'10'!W69</f>
        <v>Ne</v>
      </c>
    </row>
    <row r="1532" spans="1:3" x14ac:dyDescent="0.3">
      <c r="A1532" s="2" t="s">
        <v>768</v>
      </c>
      <c r="B1532" s="683" t="str">
        <f t="shared" si="36"/>
        <v>TRAK-P.10</v>
      </c>
      <c r="C1532" s="689" t="str">
        <f>'10'!W70</f>
        <v>Ne</v>
      </c>
    </row>
    <row r="1533" spans="1:3" x14ac:dyDescent="0.3">
      <c r="A1533" s="2" t="s">
        <v>769</v>
      </c>
      <c r="B1533" s="675" t="str">
        <f t="shared" si="36"/>
        <v>F dalis. Pagal priemonę remiamų projektų pobūdis:</v>
      </c>
      <c r="C1533" s="676"/>
    </row>
    <row r="1534" spans="1:3" x14ac:dyDescent="0.3">
      <c r="A1534" s="2" t="s">
        <v>770</v>
      </c>
      <c r="B1534" s="671" t="str">
        <f t="shared" ref="B1534:B1543" si="37">B1457</f>
        <v>Remiami pelno projektai</v>
      </c>
      <c r="C1534" s="672" t="str">
        <f>'10'!W72</f>
        <v>Ne</v>
      </c>
    </row>
    <row r="1535" spans="1:3" ht="57.6" x14ac:dyDescent="0.3">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57.6" x14ac:dyDescent="0.3">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3.2" x14ac:dyDescent="0.3">
      <c r="A1537" s="2" t="s">
        <v>773</v>
      </c>
      <c r="B1537" s="673" t="str">
        <f t="shared" si="37"/>
        <v>Remiami projektai, susiję su atsinaujinančios energijos gamybos pajėgumais, įskaitant biologinę (aktualu rodikliui L803)</v>
      </c>
      <c r="C1537" s="672" t="str">
        <f>'10'!W75</f>
        <v>Ne</v>
      </c>
    </row>
    <row r="1538" spans="1:3" ht="43.2" x14ac:dyDescent="0.3">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28.8" x14ac:dyDescent="0.3">
      <c r="A1539" s="2" t="s">
        <v>775</v>
      </c>
      <c r="B1539" s="673" t="str">
        <f t="shared" si="37"/>
        <v>Remiami projektai, kurie kuria darbo vietas (aktualu rodikliui L805)</v>
      </c>
      <c r="C1539" s="672" t="str">
        <f>'10'!W77</f>
        <v>Ne</v>
      </c>
    </row>
    <row r="1540" spans="1:3" ht="28.8" x14ac:dyDescent="0.3">
      <c r="A1540" s="2" t="s">
        <v>776</v>
      </c>
      <c r="B1540" s="673" t="str">
        <f t="shared" si="37"/>
        <v>Remiami kaimo verslų, įskaitant bioekonomiką, projektai (aktualu rodikliui L 806)</v>
      </c>
      <c r="C1540" s="672" t="str">
        <f>'10'!W78</f>
        <v>Ne</v>
      </c>
    </row>
    <row r="1541" spans="1:3" ht="28.8" x14ac:dyDescent="0.3">
      <c r="A1541" s="2" t="s">
        <v>777</v>
      </c>
      <c r="B1541" s="673" t="str">
        <f t="shared" si="37"/>
        <v>Remiami projektai, susiję su sumanių kaimų strategijomis (aktualu rodikliui L807)</v>
      </c>
      <c r="C1541" s="672" t="str">
        <f>'10'!W79</f>
        <v>Ne</v>
      </c>
    </row>
    <row r="1542" spans="1:3" ht="28.8" x14ac:dyDescent="0.3">
      <c r="A1542" s="2" t="s">
        <v>778</v>
      </c>
      <c r="B1542" s="673" t="str">
        <f t="shared" si="37"/>
        <v>Remiami projektai, gerinantys paslaugų prieinamumą ir infrastruktūrą (aktualu rodikliui L808)</v>
      </c>
      <c r="C1542" s="672" t="str">
        <f>'10'!W80</f>
        <v>Ne</v>
      </c>
    </row>
    <row r="1543" spans="1:3" ht="29.4" thickBot="1" x14ac:dyDescent="0.35">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F19"/>
  <sheetViews>
    <sheetView workbookViewId="0"/>
  </sheetViews>
  <sheetFormatPr defaultRowHeight="14.4" x14ac:dyDescent="0.3"/>
  <cols>
    <col min="2" max="2" width="70.6640625" customWidth="1"/>
    <col min="3" max="3" width="12.6640625" style="8" customWidth="1"/>
  </cols>
  <sheetData>
    <row r="1" spans="1:6" s="39" customFormat="1" ht="18" x14ac:dyDescent="0.35">
      <c r="A1" s="39" t="s">
        <v>187</v>
      </c>
      <c r="B1" s="39" t="s">
        <v>1663</v>
      </c>
      <c r="C1" s="118"/>
      <c r="F1" s="108" t="s">
        <v>1512</v>
      </c>
    </row>
    <row r="2" spans="1:6" ht="15" thickBot="1" x14ac:dyDescent="0.35">
      <c r="F2" s="605" t="s">
        <v>1612</v>
      </c>
    </row>
    <row r="3" spans="1:6" x14ac:dyDescent="0.3">
      <c r="B3" s="269">
        <v>1</v>
      </c>
      <c r="C3" s="271">
        <v>2</v>
      </c>
      <c r="F3" s="606" t="s">
        <v>1674</v>
      </c>
    </row>
    <row r="4" spans="1:6" x14ac:dyDescent="0.3">
      <c r="B4" s="718" t="s">
        <v>1664</v>
      </c>
      <c r="C4" s="719">
        <f>'1'!C15</f>
        <v>10</v>
      </c>
    </row>
    <row r="5" spans="1:6" x14ac:dyDescent="0.3">
      <c r="B5" s="680" t="s">
        <v>157</v>
      </c>
      <c r="C5" s="720"/>
    </row>
    <row r="6" spans="1:6" ht="28.8" x14ac:dyDescent="0.3">
      <c r="A6" t="s">
        <v>736</v>
      </c>
      <c r="B6" s="721" t="s">
        <v>1665</v>
      </c>
      <c r="C6" s="722">
        <f>COUNTIFS('10'!$D$38:$W$38,"Taip")</f>
        <v>3</v>
      </c>
    </row>
    <row r="7" spans="1:6" x14ac:dyDescent="0.3">
      <c r="B7" s="680" t="s">
        <v>24</v>
      </c>
      <c r="C7" s="720"/>
    </row>
    <row r="8" spans="1:6" ht="28.8" x14ac:dyDescent="0.3">
      <c r="A8" t="s">
        <v>739</v>
      </c>
      <c r="B8" s="721" t="s">
        <v>1666</v>
      </c>
      <c r="C8" s="722">
        <f>COUNTIFS('10'!$D$41:$W$41,"Taip, privalomai")</f>
        <v>5</v>
      </c>
    </row>
    <row r="9" spans="1:6" ht="28.8" x14ac:dyDescent="0.3">
      <c r="A9" t="s">
        <v>739</v>
      </c>
      <c r="B9" s="721" t="s">
        <v>1667</v>
      </c>
      <c r="C9" s="722">
        <f>COUNTIFS('10'!$D$41:$W$41,"Taip, pasirinktinai")</f>
        <v>3</v>
      </c>
    </row>
    <row r="10" spans="1:6" x14ac:dyDescent="0.3">
      <c r="B10" s="680" t="s">
        <v>159</v>
      </c>
      <c r="C10" s="720"/>
    </row>
    <row r="11" spans="1:6" ht="28.8" x14ac:dyDescent="0.3">
      <c r="A11" t="s">
        <v>742</v>
      </c>
      <c r="B11" s="721" t="s">
        <v>1668</v>
      </c>
      <c r="C11" s="722">
        <f>COUNTIFS('10'!$D$44:$W$44,"Taip, privalomai")</f>
        <v>9</v>
      </c>
    </row>
    <row r="12" spans="1:6" ht="28.8" x14ac:dyDescent="0.3">
      <c r="A12" t="s">
        <v>742</v>
      </c>
      <c r="B12" s="721" t="s">
        <v>1669</v>
      </c>
      <c r="C12" s="722">
        <f>COUNTIFS('10'!$D$44:$W$44,"Taip, pasirinktinai")</f>
        <v>0</v>
      </c>
    </row>
    <row r="13" spans="1:6" x14ac:dyDescent="0.3">
      <c r="A13" t="s">
        <v>732</v>
      </c>
      <c r="B13" s="721" t="s">
        <v>1670</v>
      </c>
      <c r="C13" s="723">
        <f>'6'!D14</f>
        <v>37</v>
      </c>
    </row>
    <row r="14" spans="1:6" x14ac:dyDescent="0.3">
      <c r="A14" t="s">
        <v>744</v>
      </c>
      <c r="B14" s="721" t="s">
        <v>507</v>
      </c>
      <c r="C14" s="723">
        <f>'6'!D15</f>
        <v>28</v>
      </c>
    </row>
    <row r="15" spans="1:6" x14ac:dyDescent="0.3">
      <c r="B15" s="721" t="s">
        <v>1671</v>
      </c>
      <c r="C15" s="722">
        <f>C14/C13</f>
        <v>0.7567567567567568</v>
      </c>
    </row>
    <row r="16" spans="1:6" x14ac:dyDescent="0.3">
      <c r="B16" s="680" t="s">
        <v>1692</v>
      </c>
      <c r="C16" s="720"/>
    </row>
    <row r="17" spans="1:3" ht="28.8" x14ac:dyDescent="0.3">
      <c r="A17" t="s">
        <v>746</v>
      </c>
      <c r="B17" s="721" t="s">
        <v>1672</v>
      </c>
      <c r="C17" s="722">
        <f>COUNTIFS('10'!$D$48:$W$48,"Taip")</f>
        <v>9</v>
      </c>
    </row>
    <row r="18" spans="1:3" x14ac:dyDescent="0.3">
      <c r="B18" s="680" t="s">
        <v>23</v>
      </c>
      <c r="C18" s="720"/>
    </row>
    <row r="19" spans="1:3" ht="15" thickBot="1" x14ac:dyDescent="0.35">
      <c r="A19" t="s">
        <v>749</v>
      </c>
      <c r="B19" s="724" t="s">
        <v>1673</v>
      </c>
      <c r="C19" s="725">
        <f>COUNTIFS('10'!$D$51:$W$51,"Taip")</f>
        <v>6</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Z55"/>
  <sheetViews>
    <sheetView zoomScaleNormal="100" workbookViewId="0">
      <selection activeCell="E9" sqref="E9"/>
    </sheetView>
  </sheetViews>
  <sheetFormatPr defaultColWidth="9.109375" defaultRowHeight="14.4" x14ac:dyDescent="0.3"/>
  <cols>
    <col min="1" max="1" width="8.6640625" style="1" customWidth="1"/>
    <col min="2" max="2" width="10.6640625" style="1" customWidth="1"/>
    <col min="3" max="3" width="82.6640625" style="193" customWidth="1"/>
    <col min="4" max="4" width="15.6640625" style="19" customWidth="1"/>
    <col min="5" max="24" width="12.6640625" style="193" customWidth="1"/>
    <col min="25" max="25" width="9.109375" style="1"/>
    <col min="26" max="26" width="15.6640625" style="18" hidden="1" customWidth="1"/>
    <col min="27" max="16384" width="9.109375" style="1"/>
  </cols>
  <sheetData>
    <row r="1" spans="1:24" ht="18" x14ac:dyDescent="0.3">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3">
      <c r="B2" s="193"/>
      <c r="C2" s="19"/>
      <c r="E2" s="605" t="s">
        <v>1612</v>
      </c>
    </row>
    <row r="3" spans="1:24" x14ac:dyDescent="0.3">
      <c r="B3" s="140" t="s">
        <v>1272</v>
      </c>
      <c r="C3" s="488" t="str">
        <f>'1'!C8</f>
        <v>TRAK</v>
      </c>
      <c r="E3" s="606" t="s">
        <v>1641</v>
      </c>
    </row>
    <row r="4" spans="1:24" ht="18" x14ac:dyDescent="0.3">
      <c r="C4" s="621" t="s">
        <v>405</v>
      </c>
      <c r="D4" s="193"/>
      <c r="E4" s="605" t="s">
        <v>1639</v>
      </c>
    </row>
    <row r="5" spans="1:24" x14ac:dyDescent="0.3">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3">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3">
      <c r="B7" s="32" t="s">
        <v>153</v>
      </c>
      <c r="C7" s="96" t="s">
        <v>1511</v>
      </c>
      <c r="D7" s="32" t="s">
        <v>160</v>
      </c>
      <c r="E7" s="586" t="str">
        <f>'10'!D7</f>
        <v>Kraštovaizdžio išsaugojimas ir pritaikymas poilsiui, sveikatinimui, turzmui</v>
      </c>
      <c r="F7" s="586" t="str">
        <f>'10'!E7</f>
        <v>Tvarios aplinkos kūrimas, aplinkosauginio sąmoningumo didinimas</v>
      </c>
      <c r="G7" s="586" t="str">
        <f>'10'!F7</f>
        <v>Jaunimo ir su jaunimu dirbančių organizacijų stiprinimas, jaunimo užimtumo įvairinimas</v>
      </c>
      <c r="H7" s="586" t="str">
        <f>'10'!G7</f>
        <v>Potencialių pareiškėjų ir projektų vykdytojų mokymai</v>
      </c>
      <c r="I7" s="586" t="str">
        <f>'10'!H7</f>
        <v>Skaitmeninių, informacinių, komunikacinių technologijų taikymas versle</v>
      </c>
      <c r="J7" s="586" t="str">
        <f>'10'!I7</f>
        <v>Vietos produktų /paslaugų kūrimas ir (ar) populiarinimas taikant inovacijas</v>
      </c>
      <c r="K7" s="586" t="str">
        <f>'10'!J7</f>
        <v>Paslaugų įvairinimas/kūrimas, stiprinant materialinę bazę ir (ar) kompetencijas</v>
      </c>
      <c r="L7" s="586" t="str">
        <f>'10'!K7</f>
        <v xml:space="preserve">Vietos gyventojų socialinio aktyvumo bei verslumo skatinimas įtraukiant pažeidžiamas grupes </v>
      </c>
      <c r="M7" s="586" t="str">
        <f>'10'!L7</f>
        <v>Bendruomeninio verslo kūrimas skatinant savanorystę</v>
      </c>
      <c r="N7" s="586" t="str">
        <f>'10'!M7</f>
        <v>Tarptautinis, teritorinis bendradarbiavimas</v>
      </c>
      <c r="O7" s="586">
        <f>'10'!N7</f>
        <v>0</v>
      </c>
      <c r="P7" s="586">
        <f>'10'!O7</f>
        <v>0</v>
      </c>
      <c r="Q7" s="586">
        <f>'10'!P7</f>
        <v>0</v>
      </c>
      <c r="R7" s="586">
        <f>'10'!Q7</f>
        <v>0</v>
      </c>
      <c r="S7" s="586">
        <f>'10'!R7</f>
        <v>0</v>
      </c>
      <c r="T7" s="586">
        <f>'10'!S7</f>
        <v>0</v>
      </c>
      <c r="U7" s="586">
        <f>'10'!T7</f>
        <v>0</v>
      </c>
      <c r="V7" s="586">
        <f>'10'!U7</f>
        <v>0</v>
      </c>
      <c r="W7" s="586">
        <f>'10'!V7</f>
        <v>0</v>
      </c>
      <c r="X7" s="586">
        <f>'10'!W7</f>
        <v>0</v>
      </c>
    </row>
    <row r="8" spans="1:24" x14ac:dyDescent="0.3">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28.8" x14ac:dyDescent="0.3">
      <c r="A9" s="1" t="s">
        <v>541</v>
      </c>
      <c r="B9" s="488" t="str">
        <f>'6'!B8</f>
        <v>R.3</v>
      </c>
      <c r="C9" s="488" t="str">
        <f>'6'!C8</f>
        <v>Žemės ūkio sektoriaus skaitmeninimas. Ūkių, pagal BŽŪP gaunančių paramą skaitmeninėms ūkininkavimo technologijoms plėtoti, skaičius</v>
      </c>
      <c r="D9" s="636">
        <f>SUM(E9:X9)</f>
        <v>2</v>
      </c>
      <c r="E9" s="486">
        <f>'11'!D9</f>
        <v>0</v>
      </c>
      <c r="F9" s="486">
        <f>'11'!E9</f>
        <v>0</v>
      </c>
      <c r="G9" s="486">
        <f>'11'!F9</f>
        <v>0</v>
      </c>
      <c r="H9" s="486">
        <f>'11'!G9</f>
        <v>0</v>
      </c>
      <c r="I9" s="486">
        <f>'11'!H9</f>
        <v>2</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28.8" x14ac:dyDescent="0.3">
      <c r="A10" s="1" t="s">
        <v>557</v>
      </c>
      <c r="B10" s="488" t="str">
        <f>'6'!B9</f>
        <v>R.37</v>
      </c>
      <c r="C10" s="488" t="str">
        <f>'6'!C9</f>
        <v>Ekonomikos augimas ir darbo vietų kūrimas kaimo vietovėse. BŽŪP projektais remiamas naujų darbo vietų kūrimas</v>
      </c>
      <c r="D10" s="637">
        <f>SUM(E10:X10)</f>
        <v>9.5</v>
      </c>
      <c r="E10" s="487">
        <f>'11'!D25</f>
        <v>0</v>
      </c>
      <c r="F10" s="487">
        <f>'11'!E25</f>
        <v>0</v>
      </c>
      <c r="G10" s="487">
        <f>'11'!F25</f>
        <v>0</v>
      </c>
      <c r="H10" s="487">
        <f>'11'!G25</f>
        <v>0</v>
      </c>
      <c r="I10" s="487">
        <f>'11'!H25</f>
        <v>2</v>
      </c>
      <c r="J10" s="487">
        <f>'11'!I25</f>
        <v>1</v>
      </c>
      <c r="K10" s="487">
        <f>'11'!J25</f>
        <v>4</v>
      </c>
      <c r="L10" s="487">
        <f>'11'!K25</f>
        <v>2</v>
      </c>
      <c r="M10" s="487">
        <f>'11'!L25</f>
        <v>0.5</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28.8" x14ac:dyDescent="0.3">
      <c r="A11" s="1" t="s">
        <v>575</v>
      </c>
      <c r="B11" s="488" t="str">
        <f>'6'!B10</f>
        <v>R.39</v>
      </c>
      <c r="C11" s="488" t="str">
        <f>'6'!C10</f>
        <v>Kaimo ekonomikos plėtojimas. Kaimo verslo įmonių, įskaitant bioekonomikos įmones, kuriamų naudojantis pagal BŽŪP skiriama parama, skaičius</v>
      </c>
      <c r="D11" s="636">
        <f t="shared" ref="D11:D13" si="0">SUM(E11:X11)</f>
        <v>7</v>
      </c>
      <c r="E11" s="486">
        <f>'11'!D43</f>
        <v>0</v>
      </c>
      <c r="F11" s="486">
        <f>'11'!E43</f>
        <v>0</v>
      </c>
      <c r="G11" s="486">
        <f>'11'!F43</f>
        <v>0</v>
      </c>
      <c r="H11" s="486">
        <f>'11'!G43</f>
        <v>0</v>
      </c>
      <c r="I11" s="486">
        <f>'11'!H43</f>
        <v>0</v>
      </c>
      <c r="J11" s="486">
        <f>'11'!I43</f>
        <v>1</v>
      </c>
      <c r="K11" s="486">
        <f>'11'!J43</f>
        <v>4</v>
      </c>
      <c r="L11" s="486">
        <f>'11'!K43</f>
        <v>2</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28.8" x14ac:dyDescent="0.3">
      <c r="A12" s="1" t="s">
        <v>591</v>
      </c>
      <c r="B12" s="488" t="str">
        <f>'6'!B11</f>
        <v>R.41</v>
      </c>
      <c r="C12" s="488" t="str">
        <f>'6'!C11</f>
        <v>Europos kaimo tinklų kūrimas. Kaimo gyventojų, kuriems, naudojantis BŽŪP parama, sudarytos palankesnės sąlygos naudotis paslaugomis ir infrastruktūra, skaičius</v>
      </c>
      <c r="D12" s="636">
        <f t="shared" si="0"/>
        <v>2200</v>
      </c>
      <c r="E12" s="486">
        <f>'11'!D59</f>
        <v>900</v>
      </c>
      <c r="F12" s="486">
        <f>'11'!E59</f>
        <v>300</v>
      </c>
      <c r="G12" s="486">
        <f>'11'!F59</f>
        <v>500</v>
      </c>
      <c r="H12" s="486">
        <f>'11'!G59</f>
        <v>500</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28.8" x14ac:dyDescent="0.3">
      <c r="A13" s="1" t="s">
        <v>607</v>
      </c>
      <c r="B13" s="488" t="str">
        <f>'6'!B12</f>
        <v>R.42</v>
      </c>
      <c r="C13" s="488" t="str">
        <f>'6'!C12</f>
        <v>Socialinės įtraukties skatinimas. Asmenų, kuriems taikomi remiami socialinės įtraukties projektai, skaičius</v>
      </c>
      <c r="D13" s="636">
        <f t="shared" si="0"/>
        <v>175</v>
      </c>
      <c r="E13" s="486">
        <f>'11'!D75</f>
        <v>50</v>
      </c>
      <c r="F13" s="486">
        <f>'11'!E75</f>
        <v>0</v>
      </c>
      <c r="G13" s="486">
        <f>'11'!F75</f>
        <v>40</v>
      </c>
      <c r="H13" s="486">
        <f>'11'!G75</f>
        <v>0</v>
      </c>
      <c r="I13" s="486">
        <f>'11'!H75</f>
        <v>0</v>
      </c>
      <c r="J13" s="486">
        <f>'11'!I75</f>
        <v>0</v>
      </c>
      <c r="K13" s="486">
        <f>'11'!J75</f>
        <v>0</v>
      </c>
      <c r="L13" s="486">
        <f>'11'!K75</f>
        <v>80</v>
      </c>
      <c r="M13" s="486">
        <f>'11'!L75</f>
        <v>5</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 x14ac:dyDescent="0.3">
      <c r="C14" s="621" t="s">
        <v>406</v>
      </c>
    </row>
    <row r="15" spans="1:24" x14ac:dyDescent="0.3">
      <c r="B15" s="20">
        <v>1</v>
      </c>
      <c r="C15" s="20">
        <v>2</v>
      </c>
      <c r="D15" s="47">
        <v>3</v>
      </c>
      <c r="E15" s="20">
        <v>4</v>
      </c>
      <c r="F15" s="20">
        <v>5</v>
      </c>
      <c r="G15" s="47">
        <v>6</v>
      </c>
      <c r="H15" s="20">
        <v>7</v>
      </c>
      <c r="I15" s="20">
        <v>8</v>
      </c>
      <c r="J15" s="47">
        <v>9</v>
      </c>
    </row>
    <row r="16" spans="1:24" ht="28.8" x14ac:dyDescent="0.3">
      <c r="B16" s="32" t="s">
        <v>153</v>
      </c>
      <c r="C16" s="96" t="s">
        <v>1511</v>
      </c>
      <c r="D16" s="32" t="s">
        <v>160</v>
      </c>
      <c r="E16" s="32" t="s">
        <v>100</v>
      </c>
      <c r="F16" s="32" t="s">
        <v>101</v>
      </c>
      <c r="G16" s="32" t="s">
        <v>102</v>
      </c>
      <c r="H16" s="32" t="s">
        <v>103</v>
      </c>
      <c r="I16" s="32" t="s">
        <v>104</v>
      </c>
      <c r="J16" s="32" t="s">
        <v>105</v>
      </c>
    </row>
    <row r="17" spans="1:26" ht="28.8" x14ac:dyDescent="0.3">
      <c r="A17" s="1" t="s">
        <v>542</v>
      </c>
      <c r="B17" s="488" t="str">
        <f t="shared" ref="B17:C21" si="1">B9</f>
        <v>R.3</v>
      </c>
      <c r="C17" s="488" t="str">
        <f t="shared" si="1"/>
        <v>Žemės ūkio sektoriaus skaitmeninimas. Ūkių, pagal BŽŪP gaunančių paramą skaitmeninėms ūkininkavimo technologijoms plėtoti, skaičius</v>
      </c>
      <c r="D17" s="636">
        <f>SUM(E17:J17)</f>
        <v>2</v>
      </c>
      <c r="E17" s="486">
        <f>VLOOKUP(E$16,'11'!$B$11:$C$16,2,FALSE)</f>
        <v>0</v>
      </c>
      <c r="F17" s="486">
        <f>VLOOKUP(F$16,'11'!$B$11:$C$16,2,FALSE)</f>
        <v>0</v>
      </c>
      <c r="G17" s="486">
        <f>VLOOKUP(G$16,'11'!$B$11:$C$16,2,FALSE)</f>
        <v>1</v>
      </c>
      <c r="H17" s="486">
        <f>VLOOKUP(H$16,'11'!$B$11:$C$16,2,FALSE)</f>
        <v>0</v>
      </c>
      <c r="I17" s="486">
        <f>VLOOKUP(I$16,'11'!$B$11:$C$16,2,FALSE)</f>
        <v>1</v>
      </c>
      <c r="J17" s="486">
        <f>VLOOKUP(J$16,'11'!$B$11:$C$16,2,FALSE)</f>
        <v>0</v>
      </c>
    </row>
    <row r="18" spans="1:26" ht="28.8" x14ac:dyDescent="0.3">
      <c r="A18" s="1" t="s">
        <v>560</v>
      </c>
      <c r="B18" s="488" t="str">
        <f t="shared" si="1"/>
        <v>R.37</v>
      </c>
      <c r="C18" s="488" t="str">
        <f t="shared" si="1"/>
        <v>Ekonomikos augimas ir darbo vietų kūrimas kaimo vietovėse. BŽŪP projektais remiamas naujų darbo vietų kūrimas</v>
      </c>
      <c r="D18" s="637">
        <f t="shared" ref="D18:D21" si="2">SUM(E18:J18)</f>
        <v>9.5</v>
      </c>
      <c r="E18" s="487">
        <f>VLOOKUP(E$16,'11'!$B$29:$C$34,2,FALSE)</f>
        <v>0</v>
      </c>
      <c r="F18" s="487">
        <f>VLOOKUP(F$16,'11'!$B$29:$C$34,2,FALSE)</f>
        <v>1</v>
      </c>
      <c r="G18" s="487">
        <f>VLOOKUP(G$16,'11'!$B$29:$C$34,2,FALSE)</f>
        <v>3</v>
      </c>
      <c r="H18" s="487">
        <f>VLOOKUP(H$16,'11'!$B$29:$C$34,2,FALSE)</f>
        <v>5</v>
      </c>
      <c r="I18" s="487">
        <f>VLOOKUP(I$16,'11'!$B$29:$C$34,2,FALSE)</f>
        <v>0.5</v>
      </c>
      <c r="J18" s="487">
        <f>VLOOKUP(J$16,'11'!$B$29:$C$34,2,FALSE)</f>
        <v>0</v>
      </c>
    </row>
    <row r="19" spans="1:26" ht="28.8" x14ac:dyDescent="0.3">
      <c r="A19" s="1" t="s">
        <v>576</v>
      </c>
      <c r="B19" s="488" t="str">
        <f t="shared" si="1"/>
        <v>R.39</v>
      </c>
      <c r="C19" s="488" t="str">
        <f t="shared" si="1"/>
        <v>Kaimo ekonomikos plėtojimas. Kaimo verslo įmonių, įskaitant bioekonomikos įmones, kuriamų naudojantis pagal BŽŪP skiriama parama, skaičius</v>
      </c>
      <c r="D19" s="636">
        <f t="shared" si="2"/>
        <v>7</v>
      </c>
      <c r="E19" s="486">
        <f>VLOOKUP(E$16,'11'!$B$45:$C$50,2,FALSE)</f>
        <v>0</v>
      </c>
      <c r="F19" s="485">
        <f>VLOOKUP(F$16,'11'!$B$45:$C$50,2,FALSE)</f>
        <v>0</v>
      </c>
      <c r="G19" s="485">
        <f>VLOOKUP(G$16,'11'!$B$45:$C$50,2,FALSE)</f>
        <v>3</v>
      </c>
      <c r="H19" s="485">
        <f>VLOOKUP(H$16,'11'!$B$45:$C$50,2,FALSE)</f>
        <v>4</v>
      </c>
      <c r="I19" s="485">
        <f>VLOOKUP(I$16,'11'!$B$45:$C$50,2,FALSE)</f>
        <v>0</v>
      </c>
      <c r="J19" s="485">
        <f>VLOOKUP(J$16,'11'!$B$45:$C$50,2,FALSE)</f>
        <v>0</v>
      </c>
    </row>
    <row r="20" spans="1:26" ht="28.8" x14ac:dyDescent="0.3">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2200</v>
      </c>
      <c r="E20" s="486">
        <f>VLOOKUP(E$16,'11'!$B$61:$C$66,2,FALSE)</f>
        <v>0</v>
      </c>
      <c r="F20" s="485">
        <f>VLOOKUP(F$16,'11'!$B$61:$C$66,2,FALSE)</f>
        <v>500</v>
      </c>
      <c r="G20" s="485">
        <f>VLOOKUP(G$16,'11'!$B$61:$C$66,2,FALSE)</f>
        <v>625</v>
      </c>
      <c r="H20" s="485">
        <f>VLOOKUP(H$16,'11'!$B$61:$C$66,2,FALSE)</f>
        <v>425</v>
      </c>
      <c r="I20" s="485">
        <f>VLOOKUP(I$16,'11'!$B$61:$C$66,2,FALSE)</f>
        <v>400</v>
      </c>
      <c r="J20" s="485">
        <f>VLOOKUP(J$16,'11'!$B$61:$C$66,2,FALSE)</f>
        <v>250</v>
      </c>
    </row>
    <row r="21" spans="1:26" ht="28.8" x14ac:dyDescent="0.3">
      <c r="A21" s="1" t="s">
        <v>608</v>
      </c>
      <c r="B21" s="488" t="str">
        <f t="shared" si="1"/>
        <v>R.42</v>
      </c>
      <c r="C21" s="488" t="str">
        <f t="shared" si="1"/>
        <v>Socialinės įtraukties skatinimas. Asmenų, kuriems taikomi remiami socialinės įtraukties projektai, skaičius</v>
      </c>
      <c r="D21" s="636">
        <f t="shared" si="2"/>
        <v>175</v>
      </c>
      <c r="E21" s="486">
        <f>VLOOKUP(E$16,'11'!$B$77:$C$82,2,FALSE)</f>
        <v>0</v>
      </c>
      <c r="F21" s="485">
        <f>VLOOKUP(F$16,'11'!$B$77:$C$82,2,FALSE)</f>
        <v>25</v>
      </c>
      <c r="G21" s="485">
        <f>VLOOKUP(G$16,'11'!$B$77:$C$82,2,FALSE)</f>
        <v>60</v>
      </c>
      <c r="H21" s="485">
        <f>VLOOKUP(H$16,'11'!$B$77:$C$82,2,FALSE)</f>
        <v>55</v>
      </c>
      <c r="I21" s="485">
        <f>VLOOKUP(I$16,'11'!$B$77:$C$82,2,FALSE)</f>
        <v>15</v>
      </c>
      <c r="J21" s="485">
        <f>VLOOKUP(J$16,'11'!$B$77:$C$82,2,FALSE)</f>
        <v>20</v>
      </c>
    </row>
    <row r="22" spans="1:26" ht="18" x14ac:dyDescent="0.3">
      <c r="C22" s="621" t="s">
        <v>407</v>
      </c>
    </row>
    <row r="23" spans="1:26" x14ac:dyDescent="0.3">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3">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3">
      <c r="B25" s="483" t="s">
        <v>153</v>
      </c>
      <c r="C25" s="494" t="s">
        <v>1511</v>
      </c>
      <c r="D25" s="483" t="s">
        <v>160</v>
      </c>
      <c r="E25" s="491" t="str">
        <f>'10'!D7</f>
        <v>Kraštovaizdžio išsaugojimas ir pritaikymas poilsiui, sveikatinimui, turzmui</v>
      </c>
      <c r="F25" s="491" t="str">
        <f>'10'!E7</f>
        <v>Tvarios aplinkos kūrimas, aplinkosauginio sąmoningumo didinimas</v>
      </c>
      <c r="G25" s="491" t="str">
        <f>'10'!F7</f>
        <v>Jaunimo ir su jaunimu dirbančių organizacijų stiprinimas, jaunimo užimtumo įvairinimas</v>
      </c>
      <c r="H25" s="491" t="str">
        <f>'10'!G7</f>
        <v>Potencialių pareiškėjų ir projektų vykdytojų mokymai</v>
      </c>
      <c r="I25" s="491" t="str">
        <f>'10'!H7</f>
        <v>Skaitmeninių, informacinių, komunikacinių technologijų taikymas versle</v>
      </c>
      <c r="J25" s="491" t="str">
        <f>'10'!I7</f>
        <v>Vietos produktų /paslaugų kūrimas ir (ar) populiarinimas taikant inovacijas</v>
      </c>
      <c r="K25" s="491" t="str">
        <f>'10'!J7</f>
        <v>Paslaugų įvairinimas/kūrimas, stiprinant materialinę bazę ir (ar) kompetencijas</v>
      </c>
      <c r="L25" s="491" t="str">
        <f>'10'!K7</f>
        <v xml:space="preserve">Vietos gyventojų socialinio aktyvumo bei verslumo skatinimas įtraukiant pažeidžiamas grupes </v>
      </c>
      <c r="M25" s="491" t="str">
        <f>'10'!L7</f>
        <v>Bendruomeninio verslo kūrimas skatinant savanorystę</v>
      </c>
      <c r="N25" s="491" t="str">
        <f>'10'!M7</f>
        <v>Tarptautinis, teritorinis bendradarbiavimas</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3">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x14ac:dyDescent="0.3">
      <c r="A27" s="1" t="s">
        <v>788</v>
      </c>
      <c r="B27" s="496" t="str">
        <f>'6'!B35</f>
        <v>TRAK-P.1</v>
      </c>
      <c r="C27" s="488">
        <f>'6'!C35</f>
        <v>0</v>
      </c>
      <c r="D27" s="636">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3">
      <c r="A28" s="1" t="s">
        <v>804</v>
      </c>
      <c r="B28" s="496" t="str">
        <f>'6'!B36</f>
        <v>TRAK-P.2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3">
      <c r="A29" s="1" t="s">
        <v>820</v>
      </c>
      <c r="B29" s="496" t="str">
        <f>'6'!B37</f>
        <v>TRAK-P.3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3">
      <c r="A30" s="1" t="s">
        <v>836</v>
      </c>
      <c r="B30" s="496" t="str">
        <f>'6'!B38</f>
        <v>TRAK-P.4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3">
      <c r="A31" s="1" t="s">
        <v>852</v>
      </c>
      <c r="B31" s="496" t="str">
        <f>'6'!B39</f>
        <v>TRAK-P.5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3">
      <c r="A32" s="1" t="s">
        <v>868</v>
      </c>
      <c r="B32" s="496" t="str">
        <f>'6'!B40</f>
        <v>TRAK-P.6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3">
      <c r="A33" s="1" t="s">
        <v>884</v>
      </c>
      <c r="B33" s="496" t="str">
        <f>'6'!B41</f>
        <v>TRAK-P.7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3">
      <c r="A34" s="1" t="s">
        <v>900</v>
      </c>
      <c r="B34" s="496" t="str">
        <f>'6'!B42</f>
        <v>TRAK-P.8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3">
      <c r="A35" s="1" t="s">
        <v>916</v>
      </c>
      <c r="B35" s="496" t="str">
        <f>'6'!B43</f>
        <v>TRAK-P.9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3">
      <c r="A36" s="1" t="s">
        <v>932</v>
      </c>
      <c r="B36" s="496" t="str">
        <f>'6'!B44</f>
        <v>TRAK-P.10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 x14ac:dyDescent="0.3">
      <c r="C37" s="621" t="s">
        <v>408</v>
      </c>
    </row>
    <row r="38" spans="1:24" x14ac:dyDescent="0.3">
      <c r="B38" s="492">
        <v>1</v>
      </c>
      <c r="C38" s="492">
        <v>2</v>
      </c>
      <c r="D38" s="493">
        <v>3</v>
      </c>
      <c r="E38" s="492">
        <v>4</v>
      </c>
      <c r="F38" s="492">
        <v>5</v>
      </c>
      <c r="G38" s="493">
        <v>6</v>
      </c>
      <c r="H38" s="492">
        <v>7</v>
      </c>
      <c r="I38" s="492">
        <v>8</v>
      </c>
      <c r="J38" s="493">
        <v>9</v>
      </c>
    </row>
    <row r="39" spans="1:24" ht="28.8" x14ac:dyDescent="0.3">
      <c r="B39" s="483" t="s">
        <v>153</v>
      </c>
      <c r="C39" s="483" t="s">
        <v>1511</v>
      </c>
      <c r="D39" s="483" t="s">
        <v>160</v>
      </c>
      <c r="E39" s="483" t="s">
        <v>100</v>
      </c>
      <c r="F39" s="483" t="s">
        <v>101</v>
      </c>
      <c r="G39" s="483" t="s">
        <v>102</v>
      </c>
      <c r="H39" s="483" t="s">
        <v>103</v>
      </c>
      <c r="I39" s="483" t="s">
        <v>104</v>
      </c>
      <c r="J39" s="483" t="s">
        <v>105</v>
      </c>
    </row>
    <row r="40" spans="1:24" x14ac:dyDescent="0.3">
      <c r="A40" s="1" t="s">
        <v>789</v>
      </c>
      <c r="B40" s="488" t="str">
        <f>B27</f>
        <v>TRAK-P.1</v>
      </c>
      <c r="C40" s="488">
        <f>C27</f>
        <v>0</v>
      </c>
      <c r="D40" s="636">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x14ac:dyDescent="0.3">
      <c r="A41" s="1" t="s">
        <v>805</v>
      </c>
      <c r="B41" s="488" t="str">
        <f t="shared" ref="B41:C41" si="4">B28</f>
        <v>TRAK-P.2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3">
      <c r="A42" s="1" t="s">
        <v>821</v>
      </c>
      <c r="B42" s="488" t="str">
        <f t="shared" ref="B42:C42" si="6">B29</f>
        <v>TRAK-P.3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3">
      <c r="A43" s="1" t="s">
        <v>837</v>
      </c>
      <c r="B43" s="488" t="str">
        <f t="shared" ref="B43:C43" si="7">B30</f>
        <v>TRAK-P.4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3">
      <c r="A44" s="1" t="s">
        <v>853</v>
      </c>
      <c r="B44" s="488" t="str">
        <f t="shared" ref="B44:C44" si="8">B31</f>
        <v>TRAK-P.5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3">
      <c r="A45" s="1" t="s">
        <v>869</v>
      </c>
      <c r="B45" s="488" t="str">
        <f t="shared" ref="B45:C45" si="9">B32</f>
        <v>TRAK-P.6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3">
      <c r="A46" s="1" t="s">
        <v>885</v>
      </c>
      <c r="B46" s="488" t="str">
        <f t="shared" ref="B46:C46" si="10">B33</f>
        <v>TRAK-P.7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3">
      <c r="A47" s="1" t="s">
        <v>901</v>
      </c>
      <c r="B47" s="488" t="str">
        <f t="shared" ref="B47:C47" si="11">B34</f>
        <v>TRAK-P.8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3">
      <c r="A48" s="1" t="s">
        <v>917</v>
      </c>
      <c r="B48" s="488" t="str">
        <f t="shared" ref="B48:C48" si="12">B35</f>
        <v>TRAK-P.9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3">
      <c r="A49" s="1" t="s">
        <v>933</v>
      </c>
      <c r="B49" s="488" t="str">
        <f t="shared" ref="B49:C49" si="13">B36</f>
        <v>TRAK-P.10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3">
      <c r="C52" s="596" t="s">
        <v>1611</v>
      </c>
    </row>
    <row r="53" spans="1:10" x14ac:dyDescent="0.3">
      <c r="C53" s="229" t="s">
        <v>1612</v>
      </c>
    </row>
    <row r="54" spans="1:10" x14ac:dyDescent="0.3">
      <c r="C54" s="597" t="s">
        <v>1641</v>
      </c>
    </row>
    <row r="55" spans="1:10" ht="43.2" x14ac:dyDescent="0.3">
      <c r="C55" s="335" t="s">
        <v>1639</v>
      </c>
    </row>
  </sheetData>
  <phoneticPr fontId="8" type="noConversion"/>
  <dataValidations count="1">
    <dataValidation type="whole" allowBlank="1" showInputMessage="1" showErrorMessage="1" prompt="Įveskite sveiką skaičių. Maksimali reikšmė - 50" sqref="E8:X8" xr:uid="{00000000-0002-0000-1600-000000000000}">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A1:AE78"/>
  <sheetViews>
    <sheetView zoomScaleNormal="100" workbookViewId="0">
      <selection activeCell="B1" sqref="B1"/>
    </sheetView>
  </sheetViews>
  <sheetFormatPr defaultColWidth="9.109375" defaultRowHeight="14.4" x14ac:dyDescent="0.3"/>
  <cols>
    <col min="1" max="1" width="8.6640625" style="13" customWidth="1"/>
    <col min="2" max="2" width="12.6640625" style="13" customWidth="1"/>
    <col min="3" max="3" width="70.5546875" style="13" customWidth="1"/>
    <col min="4" max="30" width="11.6640625" style="13" customWidth="1"/>
    <col min="31" max="31" width="32.6640625" style="13" customWidth="1"/>
    <col min="32" max="16384" width="9.109375" style="13"/>
  </cols>
  <sheetData>
    <row r="1" spans="1:31" s="42" customFormat="1" ht="18" x14ac:dyDescent="0.3">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x14ac:dyDescent="0.3">
      <c r="A3" s="1"/>
      <c r="B3" s="140" t="s">
        <v>1272</v>
      </c>
      <c r="C3" s="205" t="str">
        <f>'1'!C8</f>
        <v>TRAK</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x14ac:dyDescent="0.3">
      <c r="L4" s="605" t="s">
        <v>1639</v>
      </c>
    </row>
    <row r="5" spans="1:31" ht="43.2" x14ac:dyDescent="0.3">
      <c r="B5" s="21" t="s">
        <v>54</v>
      </c>
      <c r="C5" s="20" t="s">
        <v>53</v>
      </c>
      <c r="D5" s="769" t="s">
        <v>100</v>
      </c>
      <c r="E5" s="769"/>
      <c r="F5" s="769"/>
      <c r="G5" s="769"/>
      <c r="H5" s="769" t="s">
        <v>101</v>
      </c>
      <c r="I5" s="769"/>
      <c r="J5" s="769"/>
      <c r="K5" s="769"/>
    </row>
    <row r="6" spans="1:31" x14ac:dyDescent="0.3">
      <c r="B6" s="21"/>
      <c r="C6" s="20"/>
      <c r="D6" s="224" t="s">
        <v>96</v>
      </c>
      <c r="E6" s="224" t="s">
        <v>97</v>
      </c>
      <c r="F6" s="224" t="s">
        <v>98</v>
      </c>
      <c r="G6" s="224" t="s">
        <v>99</v>
      </c>
      <c r="H6" s="224" t="s">
        <v>96</v>
      </c>
      <c r="I6" s="224" t="s">
        <v>97</v>
      </c>
      <c r="J6" s="224" t="s">
        <v>98</v>
      </c>
      <c r="K6" s="224" t="s">
        <v>99</v>
      </c>
    </row>
    <row r="7" spans="1:31" x14ac:dyDescent="0.3">
      <c r="B7" s="692" t="s">
        <v>0</v>
      </c>
      <c r="C7" s="184" t="str">
        <f>'7'!C7</f>
        <v>Kraštovaizdžio išsaugojimas ir pritaikymas poilsiui, sveikatinimui, turzmui</v>
      </c>
      <c r="D7" s="693">
        <f>'15'!G8</f>
        <v>0</v>
      </c>
      <c r="E7" s="693">
        <f>'15'!H8</f>
        <v>0</v>
      </c>
      <c r="F7" s="693">
        <f>'15'!I8</f>
        <v>0</v>
      </c>
      <c r="G7" s="693">
        <f>'15'!J8</f>
        <v>24000</v>
      </c>
      <c r="H7" s="693">
        <f>'15'!K8</f>
        <v>0</v>
      </c>
      <c r="I7" s="693">
        <f>'15'!L8</f>
        <v>48000</v>
      </c>
      <c r="J7" s="693">
        <f>'15'!M8</f>
        <v>0</v>
      </c>
      <c r="K7" s="693">
        <f>'15'!N8</f>
        <v>0</v>
      </c>
    </row>
    <row r="8" spans="1:31" x14ac:dyDescent="0.3">
      <c r="B8" s="692" t="s">
        <v>1</v>
      </c>
      <c r="C8" s="184" t="str">
        <f>'7'!C8</f>
        <v>Tvarios aplinkos kūrimas, aplinkosauginio sąmoningumo didinimas</v>
      </c>
      <c r="D8" s="693">
        <f>'15'!G9</f>
        <v>0</v>
      </c>
      <c r="E8" s="693">
        <f>'15'!H9</f>
        <v>0</v>
      </c>
      <c r="F8" s="693">
        <f>'15'!I9</f>
        <v>0</v>
      </c>
      <c r="G8" s="693">
        <f>'15'!J9</f>
        <v>0</v>
      </c>
      <c r="H8" s="693">
        <f>'15'!K9</f>
        <v>11967</v>
      </c>
      <c r="I8" s="693">
        <f>'15'!L9</f>
        <v>0</v>
      </c>
      <c r="J8" s="693">
        <f>'15'!M9</f>
        <v>0</v>
      </c>
      <c r="K8" s="693">
        <f>'15'!N9</f>
        <v>0</v>
      </c>
    </row>
    <row r="9" spans="1:31" ht="28.8" x14ac:dyDescent="0.3">
      <c r="B9" s="692" t="s">
        <v>2</v>
      </c>
      <c r="C9" s="184" t="str">
        <f>'7'!C9</f>
        <v>Jaunimo ir su jaunimu dirbančių organizacijų stiprinimas, jaunimo užimtumo įvairinimas</v>
      </c>
      <c r="D9" s="693">
        <f>'15'!G10</f>
        <v>0</v>
      </c>
      <c r="E9" s="693">
        <f>'15'!H10</f>
        <v>0</v>
      </c>
      <c r="F9" s="693">
        <f>'15'!I10</f>
        <v>20000</v>
      </c>
      <c r="G9" s="693">
        <f>'15'!J10</f>
        <v>0</v>
      </c>
      <c r="H9" s="693">
        <f>'15'!K10</f>
        <v>0</v>
      </c>
      <c r="I9" s="693">
        <f>'15'!L10</f>
        <v>10000</v>
      </c>
      <c r="J9" s="693">
        <f>'15'!M10</f>
        <v>0</v>
      </c>
      <c r="K9" s="693">
        <f>'15'!N10</f>
        <v>0</v>
      </c>
    </row>
    <row r="10" spans="1:31" x14ac:dyDescent="0.3">
      <c r="B10" s="692" t="s">
        <v>3</v>
      </c>
      <c r="C10" s="184" t="str">
        <f>'7'!C10</f>
        <v>Potencialių pareiškėjų ir projektų vykdytojų mokymai</v>
      </c>
      <c r="D10" s="693">
        <f>'15'!G11</f>
        <v>0</v>
      </c>
      <c r="E10" s="693">
        <f>'15'!H11</f>
        <v>0</v>
      </c>
      <c r="F10" s="693">
        <f>'15'!I11</f>
        <v>20000</v>
      </c>
      <c r="G10" s="693">
        <f>'15'!J11</f>
        <v>0</v>
      </c>
      <c r="H10" s="693">
        <f>'15'!K11</f>
        <v>0</v>
      </c>
      <c r="I10" s="693">
        <f>'15'!L11</f>
        <v>30000</v>
      </c>
      <c r="J10" s="693">
        <f>'15'!M11</f>
        <v>0</v>
      </c>
      <c r="K10" s="693">
        <f>'15'!N11</f>
        <v>0</v>
      </c>
    </row>
    <row r="11" spans="1:31" x14ac:dyDescent="0.3">
      <c r="B11" s="692" t="s">
        <v>4</v>
      </c>
      <c r="C11" s="184" t="str">
        <f>'7'!C11</f>
        <v>Skaitmeninių, informacinių, komunikacinių technologijų taikymas versle</v>
      </c>
      <c r="D11" s="693">
        <f>'15'!G12</f>
        <v>0</v>
      </c>
      <c r="E11" s="693">
        <f>'15'!H12</f>
        <v>0</v>
      </c>
      <c r="F11" s="693">
        <f>'15'!I12</f>
        <v>0</v>
      </c>
      <c r="G11" s="693">
        <f>'15'!J12</f>
        <v>0</v>
      </c>
      <c r="H11" s="693">
        <f>'15'!K12</f>
        <v>70000</v>
      </c>
      <c r="I11" s="693">
        <f>'15'!L12</f>
        <v>0</v>
      </c>
      <c r="J11" s="693">
        <f>'15'!M12</f>
        <v>0</v>
      </c>
      <c r="K11" s="693">
        <f>'15'!N12</f>
        <v>0</v>
      </c>
    </row>
    <row r="12" spans="1:31" x14ac:dyDescent="0.3">
      <c r="B12" s="692" t="s">
        <v>5</v>
      </c>
      <c r="C12" s="184" t="str">
        <f>'7'!C12</f>
        <v>Vietos produktų /paslaugų kūrimas ir (ar) populiarinimas taikant inovacijas</v>
      </c>
      <c r="D12" s="693">
        <f>'15'!G13</f>
        <v>0</v>
      </c>
      <c r="E12" s="693">
        <f>'15'!H13</f>
        <v>0</v>
      </c>
      <c r="F12" s="693">
        <f>'15'!I13</f>
        <v>0</v>
      </c>
      <c r="G12" s="693">
        <f>'15'!J13</f>
        <v>0</v>
      </c>
      <c r="H12" s="693">
        <f>'15'!K13</f>
        <v>0</v>
      </c>
      <c r="I12" s="693">
        <f>'15'!L13</f>
        <v>0</v>
      </c>
      <c r="J12" s="693">
        <f>'15'!M13</f>
        <v>0</v>
      </c>
      <c r="K12" s="693">
        <f>'15'!N13</f>
        <v>0</v>
      </c>
    </row>
    <row r="13" spans="1:31" x14ac:dyDescent="0.3">
      <c r="B13" s="692" t="s">
        <v>6</v>
      </c>
      <c r="C13" s="184" t="str">
        <f>'7'!C13</f>
        <v>Paslaugų įvairinimas/kūrimas, stiprinant materialinę bazę ir (ar) kompetencijas</v>
      </c>
      <c r="D13" s="693">
        <f>'15'!G14</f>
        <v>0</v>
      </c>
      <c r="E13" s="693">
        <f>'15'!H14</f>
        <v>0</v>
      </c>
      <c r="F13" s="693">
        <f>'15'!I14</f>
        <v>0</v>
      </c>
      <c r="G13" s="693">
        <f>'15'!J14</f>
        <v>0</v>
      </c>
      <c r="H13" s="693">
        <f>'15'!K14</f>
        <v>0</v>
      </c>
      <c r="I13" s="693">
        <f>'15'!L14</f>
        <v>140000</v>
      </c>
      <c r="J13" s="693">
        <f>'15'!M14</f>
        <v>0</v>
      </c>
      <c r="K13" s="693">
        <f>'15'!N14</f>
        <v>0</v>
      </c>
    </row>
    <row r="14" spans="1:31" ht="28.8" x14ac:dyDescent="0.3">
      <c r="B14" s="692" t="s">
        <v>7</v>
      </c>
      <c r="C14" s="184" t="str">
        <f>'7'!C14</f>
        <v xml:space="preserve">Vietos gyventojų socialinio aktyvumo bei verslumo skatinimas įtraukiant pažeidžiamas grupes </v>
      </c>
      <c r="D14" s="693">
        <f>'15'!G15</f>
        <v>0</v>
      </c>
      <c r="E14" s="693">
        <f>'15'!H15</f>
        <v>0</v>
      </c>
      <c r="F14" s="693">
        <f>'15'!I15</f>
        <v>100000</v>
      </c>
      <c r="G14" s="693">
        <f>'15'!J15</f>
        <v>0</v>
      </c>
      <c r="H14" s="693">
        <f>'15'!K15</f>
        <v>0</v>
      </c>
      <c r="I14" s="693">
        <f>'15'!L15</f>
        <v>0</v>
      </c>
      <c r="J14" s="693">
        <f>'15'!M15</f>
        <v>100000</v>
      </c>
      <c r="K14" s="693">
        <f>'15'!N15</f>
        <v>0</v>
      </c>
    </row>
    <row r="15" spans="1:31" x14ac:dyDescent="0.3">
      <c r="B15" s="692" t="s">
        <v>8</v>
      </c>
      <c r="C15" s="184" t="str">
        <f>'7'!C15</f>
        <v>Bendruomeninio verslo kūrimas skatinant savanorystę</v>
      </c>
      <c r="D15" s="693">
        <f>'15'!G16</f>
        <v>0</v>
      </c>
      <c r="E15" s="693">
        <f>'15'!H16</f>
        <v>0</v>
      </c>
      <c r="F15" s="693">
        <f>'15'!I16</f>
        <v>0</v>
      </c>
      <c r="G15" s="693">
        <f>'15'!J16</f>
        <v>0</v>
      </c>
      <c r="H15" s="693">
        <f>'15'!K16</f>
        <v>0</v>
      </c>
      <c r="I15" s="693">
        <f>'15'!L16</f>
        <v>0</v>
      </c>
      <c r="J15" s="693">
        <f>'15'!M16</f>
        <v>0</v>
      </c>
      <c r="K15" s="693">
        <f>'15'!N16</f>
        <v>0</v>
      </c>
    </row>
    <row r="16" spans="1:31" x14ac:dyDescent="0.3">
      <c r="B16" s="692" t="s">
        <v>9</v>
      </c>
      <c r="C16" s="184" t="str">
        <f>'7'!C16</f>
        <v>Tarptautinis, teritorinis bendradarbiavimas</v>
      </c>
      <c r="D16" s="693">
        <f>'15'!G17</f>
        <v>0</v>
      </c>
      <c r="E16" s="693">
        <f>'15'!H17</f>
        <v>0</v>
      </c>
      <c r="F16" s="693">
        <f>'15'!I17</f>
        <v>0</v>
      </c>
      <c r="G16" s="693">
        <f>'15'!J17</f>
        <v>0</v>
      </c>
      <c r="H16" s="693">
        <f>'15'!K17</f>
        <v>0</v>
      </c>
      <c r="I16" s="693">
        <f>'15'!L17</f>
        <v>0</v>
      </c>
      <c r="J16" s="693">
        <f>'15'!M17</f>
        <v>0</v>
      </c>
      <c r="K16" s="693">
        <f>'15'!N17</f>
        <v>0</v>
      </c>
    </row>
    <row r="17" spans="2:11" x14ac:dyDescent="0.3">
      <c r="B17" s="692" t="s">
        <v>43</v>
      </c>
      <c r="C17" s="184">
        <f>'7'!C17</f>
        <v>0</v>
      </c>
      <c r="D17" s="693">
        <f>'15'!G18</f>
        <v>0</v>
      </c>
      <c r="E17" s="693">
        <f>'15'!H18</f>
        <v>0</v>
      </c>
      <c r="F17" s="693">
        <f>'15'!I18</f>
        <v>0</v>
      </c>
      <c r="G17" s="693">
        <f>'15'!J18</f>
        <v>0</v>
      </c>
      <c r="H17" s="693">
        <f>'15'!K18</f>
        <v>0</v>
      </c>
      <c r="I17" s="693">
        <f>'15'!L18</f>
        <v>0</v>
      </c>
      <c r="J17" s="693">
        <f>'15'!M18</f>
        <v>0</v>
      </c>
      <c r="K17" s="693">
        <f>'15'!N18</f>
        <v>0</v>
      </c>
    </row>
    <row r="18" spans="2:11" x14ac:dyDescent="0.3">
      <c r="B18" s="692" t="s">
        <v>44</v>
      </c>
      <c r="C18" s="184">
        <f>'7'!C18</f>
        <v>0</v>
      </c>
      <c r="D18" s="693">
        <f>'15'!G19</f>
        <v>0</v>
      </c>
      <c r="E18" s="693">
        <f>'15'!H19</f>
        <v>0</v>
      </c>
      <c r="F18" s="693">
        <f>'15'!I19</f>
        <v>0</v>
      </c>
      <c r="G18" s="693">
        <f>'15'!J19</f>
        <v>0</v>
      </c>
      <c r="H18" s="693">
        <f>'15'!K19</f>
        <v>0</v>
      </c>
      <c r="I18" s="693">
        <f>'15'!L19</f>
        <v>0</v>
      </c>
      <c r="J18" s="693">
        <f>'15'!M19</f>
        <v>0</v>
      </c>
      <c r="K18" s="693">
        <f>'15'!N19</f>
        <v>0</v>
      </c>
    </row>
    <row r="19" spans="2:11" x14ac:dyDescent="0.3">
      <c r="B19" s="692" t="s">
        <v>45</v>
      </c>
      <c r="C19" s="184">
        <f>'7'!C19</f>
        <v>0</v>
      </c>
      <c r="D19" s="693">
        <f>'15'!G20</f>
        <v>0</v>
      </c>
      <c r="E19" s="693">
        <f>'15'!H20</f>
        <v>0</v>
      </c>
      <c r="F19" s="693">
        <f>'15'!I20</f>
        <v>0</v>
      </c>
      <c r="G19" s="693">
        <f>'15'!J20</f>
        <v>0</v>
      </c>
      <c r="H19" s="693">
        <f>'15'!K20</f>
        <v>0</v>
      </c>
      <c r="I19" s="693">
        <f>'15'!L20</f>
        <v>0</v>
      </c>
      <c r="J19" s="693">
        <f>'15'!M20</f>
        <v>0</v>
      </c>
      <c r="K19" s="693">
        <f>'15'!N20</f>
        <v>0</v>
      </c>
    </row>
    <row r="20" spans="2:11" x14ac:dyDescent="0.3">
      <c r="B20" s="692" t="s">
        <v>46</v>
      </c>
      <c r="C20" s="184">
        <f>'7'!C20</f>
        <v>0</v>
      </c>
      <c r="D20" s="693">
        <f>'15'!G21</f>
        <v>0</v>
      </c>
      <c r="E20" s="693">
        <f>'15'!H21</f>
        <v>0</v>
      </c>
      <c r="F20" s="693">
        <f>'15'!I21</f>
        <v>0</v>
      </c>
      <c r="G20" s="693">
        <f>'15'!J21</f>
        <v>0</v>
      </c>
      <c r="H20" s="693">
        <f>'15'!K21</f>
        <v>0</v>
      </c>
      <c r="I20" s="693">
        <f>'15'!L21</f>
        <v>0</v>
      </c>
      <c r="J20" s="693">
        <f>'15'!M21</f>
        <v>0</v>
      </c>
      <c r="K20" s="693">
        <f>'15'!N21</f>
        <v>0</v>
      </c>
    </row>
    <row r="21" spans="2:11" x14ac:dyDescent="0.3">
      <c r="B21" s="692" t="s">
        <v>47</v>
      </c>
      <c r="C21" s="184">
        <f>'7'!C21</f>
        <v>0</v>
      </c>
      <c r="D21" s="693">
        <f>'15'!G22</f>
        <v>0</v>
      </c>
      <c r="E21" s="693">
        <f>'15'!H22</f>
        <v>0</v>
      </c>
      <c r="F21" s="693">
        <f>'15'!I22</f>
        <v>0</v>
      </c>
      <c r="G21" s="693">
        <f>'15'!J22</f>
        <v>0</v>
      </c>
      <c r="H21" s="693">
        <f>'15'!K22</f>
        <v>0</v>
      </c>
      <c r="I21" s="693">
        <f>'15'!L22</f>
        <v>0</v>
      </c>
      <c r="J21" s="693">
        <f>'15'!M22</f>
        <v>0</v>
      </c>
      <c r="K21" s="693">
        <f>'15'!N22</f>
        <v>0</v>
      </c>
    </row>
    <row r="22" spans="2:11" x14ac:dyDescent="0.3">
      <c r="B22" s="692" t="s">
        <v>48</v>
      </c>
      <c r="C22" s="184">
        <f>'7'!C22</f>
        <v>0</v>
      </c>
      <c r="D22" s="693">
        <f>'15'!G23</f>
        <v>0</v>
      </c>
      <c r="E22" s="693">
        <f>'15'!H23</f>
        <v>0</v>
      </c>
      <c r="F22" s="693">
        <f>'15'!I23</f>
        <v>0</v>
      </c>
      <c r="G22" s="693">
        <f>'15'!J23</f>
        <v>0</v>
      </c>
      <c r="H22" s="693">
        <f>'15'!K23</f>
        <v>0</v>
      </c>
      <c r="I22" s="693">
        <f>'15'!L23</f>
        <v>0</v>
      </c>
      <c r="J22" s="693">
        <f>'15'!M23</f>
        <v>0</v>
      </c>
      <c r="K22" s="693">
        <f>'15'!N23</f>
        <v>0</v>
      </c>
    </row>
    <row r="23" spans="2:11" x14ac:dyDescent="0.3">
      <c r="B23" s="692" t="s">
        <v>49</v>
      </c>
      <c r="C23" s="184">
        <f>'7'!C23</f>
        <v>0</v>
      </c>
      <c r="D23" s="693">
        <f>'15'!G24</f>
        <v>0</v>
      </c>
      <c r="E23" s="693">
        <f>'15'!H24</f>
        <v>0</v>
      </c>
      <c r="F23" s="693">
        <f>'15'!I24</f>
        <v>0</v>
      </c>
      <c r="G23" s="693">
        <f>'15'!J24</f>
        <v>0</v>
      </c>
      <c r="H23" s="693">
        <f>'15'!K24</f>
        <v>0</v>
      </c>
      <c r="I23" s="693">
        <f>'15'!L24</f>
        <v>0</v>
      </c>
      <c r="J23" s="693">
        <f>'15'!M24</f>
        <v>0</v>
      </c>
      <c r="K23" s="693">
        <f>'15'!N24</f>
        <v>0</v>
      </c>
    </row>
    <row r="24" spans="2:11" x14ac:dyDescent="0.3">
      <c r="B24" s="692" t="s">
        <v>50</v>
      </c>
      <c r="C24" s="184">
        <f>'7'!C24</f>
        <v>0</v>
      </c>
      <c r="D24" s="693">
        <f>'15'!G25</f>
        <v>0</v>
      </c>
      <c r="E24" s="693">
        <f>'15'!H25</f>
        <v>0</v>
      </c>
      <c r="F24" s="693">
        <f>'15'!I25</f>
        <v>0</v>
      </c>
      <c r="G24" s="693">
        <f>'15'!J25</f>
        <v>0</v>
      </c>
      <c r="H24" s="693">
        <f>'15'!K25</f>
        <v>0</v>
      </c>
      <c r="I24" s="693">
        <f>'15'!L25</f>
        <v>0</v>
      </c>
      <c r="J24" s="693">
        <f>'15'!M25</f>
        <v>0</v>
      </c>
      <c r="K24" s="693">
        <f>'15'!N25</f>
        <v>0</v>
      </c>
    </row>
    <row r="25" spans="2:11" x14ac:dyDescent="0.3">
      <c r="B25" s="692" t="s">
        <v>51</v>
      </c>
      <c r="C25" s="184">
        <f>'7'!C25</f>
        <v>0</v>
      </c>
      <c r="D25" s="693">
        <f>'15'!G26</f>
        <v>0</v>
      </c>
      <c r="E25" s="693">
        <f>'15'!H26</f>
        <v>0</v>
      </c>
      <c r="F25" s="693">
        <f>'15'!I26</f>
        <v>0</v>
      </c>
      <c r="G25" s="693">
        <f>'15'!J26</f>
        <v>0</v>
      </c>
      <c r="H25" s="693">
        <f>'15'!K26</f>
        <v>0</v>
      </c>
      <c r="I25" s="693">
        <f>'15'!L26</f>
        <v>0</v>
      </c>
      <c r="J25" s="693">
        <f>'15'!M26</f>
        <v>0</v>
      </c>
      <c r="K25" s="693">
        <f>'15'!N26</f>
        <v>0</v>
      </c>
    </row>
    <row r="26" spans="2:11" x14ac:dyDescent="0.3">
      <c r="B26" s="692" t="s">
        <v>52</v>
      </c>
      <c r="C26" s="184">
        <f>'7'!C26</f>
        <v>0</v>
      </c>
      <c r="D26" s="693">
        <f>'15'!G27</f>
        <v>0</v>
      </c>
      <c r="E26" s="693">
        <f>'15'!H27</f>
        <v>0</v>
      </c>
      <c r="F26" s="693">
        <f>'15'!I27</f>
        <v>0</v>
      </c>
      <c r="G26" s="693">
        <f>'15'!J27</f>
        <v>0</v>
      </c>
      <c r="H26" s="693">
        <f>'15'!K27</f>
        <v>0</v>
      </c>
      <c r="I26" s="693">
        <f>'15'!L27</f>
        <v>0</v>
      </c>
      <c r="J26" s="693">
        <f>'15'!M27</f>
        <v>0</v>
      </c>
      <c r="K26" s="693">
        <f>'15'!N27</f>
        <v>0</v>
      </c>
    </row>
    <row r="27" spans="2:11" x14ac:dyDescent="0.3">
      <c r="B27" s="23"/>
      <c r="C27" s="23" t="s">
        <v>160</v>
      </c>
      <c r="D27" s="695">
        <f>'15'!G28</f>
        <v>0</v>
      </c>
      <c r="E27" s="695">
        <f>'15'!H28</f>
        <v>0</v>
      </c>
      <c r="F27" s="695">
        <f>'15'!I28</f>
        <v>140000</v>
      </c>
      <c r="G27" s="695">
        <f>'15'!J28</f>
        <v>24000</v>
      </c>
      <c r="H27" s="695">
        <f>'15'!K28</f>
        <v>81967</v>
      </c>
      <c r="I27" s="695">
        <f>'15'!L28</f>
        <v>228000</v>
      </c>
      <c r="J27" s="695">
        <f>'15'!M28</f>
        <v>100000</v>
      </c>
      <c r="K27" s="695">
        <f>'15'!N28</f>
        <v>0</v>
      </c>
    </row>
    <row r="28" spans="2:11" ht="30" customHeight="1" x14ac:dyDescent="0.3">
      <c r="B28" s="696" t="s">
        <v>1295</v>
      </c>
      <c r="C28" s="768" t="str">
        <f>'15'!C29</f>
        <v>Faktinis kvietimų skaičius konkrečiais metais gali nesutapti su lentelėje nurodytu. Konkrečių metų kvietimai suplanuojami rengiant metinį kvietimų grafiką, kuris skelbiamas VVG svetainėje.</v>
      </c>
      <c r="D28" s="768"/>
      <c r="E28" s="768"/>
      <c r="F28" s="768"/>
      <c r="G28" s="768"/>
      <c r="H28" s="768"/>
      <c r="I28" s="768"/>
      <c r="J28" s="768"/>
      <c r="K28" s="768"/>
    </row>
    <row r="29" spans="2:11" ht="15.75" customHeight="1" x14ac:dyDescent="0.3"/>
    <row r="30" spans="2:11" ht="43.2" x14ac:dyDescent="0.3">
      <c r="B30" s="21" t="s">
        <v>54</v>
      </c>
      <c r="C30" s="20" t="s">
        <v>53</v>
      </c>
      <c r="D30" s="769" t="s">
        <v>102</v>
      </c>
      <c r="E30" s="769"/>
      <c r="F30" s="769"/>
      <c r="G30" s="769"/>
      <c r="H30" s="769" t="s">
        <v>103</v>
      </c>
      <c r="I30" s="769"/>
      <c r="J30" s="769"/>
      <c r="K30" s="769"/>
    </row>
    <row r="31" spans="2:11" x14ac:dyDescent="0.3">
      <c r="B31" s="21"/>
      <c r="C31" s="20"/>
      <c r="D31" s="224" t="s">
        <v>96</v>
      </c>
      <c r="E31" s="224" t="s">
        <v>97</v>
      </c>
      <c r="F31" s="224" t="s">
        <v>98</v>
      </c>
      <c r="G31" s="224" t="s">
        <v>99</v>
      </c>
      <c r="H31" s="224" t="s">
        <v>96</v>
      </c>
      <c r="I31" s="224" t="s">
        <v>97</v>
      </c>
      <c r="J31" s="224" t="s">
        <v>98</v>
      </c>
      <c r="K31" s="224" t="s">
        <v>99</v>
      </c>
    </row>
    <row r="32" spans="2:11" x14ac:dyDescent="0.3">
      <c r="B32" s="692" t="s">
        <v>0</v>
      </c>
      <c r="C32" s="184" t="str">
        <f>C7</f>
        <v>Kraštovaizdžio išsaugojimas ir pritaikymas poilsiui, sveikatinimui, turzmui</v>
      </c>
      <c r="D32" s="693">
        <f>'15'!O8</f>
        <v>0</v>
      </c>
      <c r="E32" s="693">
        <f>'15'!P8</f>
        <v>48000</v>
      </c>
      <c r="F32" s="693">
        <f>'15'!Q8</f>
        <v>0</v>
      </c>
      <c r="G32" s="693">
        <f>'15'!R8</f>
        <v>0</v>
      </c>
      <c r="H32" s="693">
        <f>'15'!S8</f>
        <v>0</v>
      </c>
      <c r="I32" s="693">
        <f>'15'!T8</f>
        <v>48000</v>
      </c>
      <c r="J32" s="693">
        <f>'15'!U8</f>
        <v>0</v>
      </c>
      <c r="K32" s="693">
        <f>'15'!V8</f>
        <v>0</v>
      </c>
    </row>
    <row r="33" spans="2:11" x14ac:dyDescent="0.3">
      <c r="B33" s="692" t="s">
        <v>1</v>
      </c>
      <c r="C33" s="184" t="str">
        <f t="shared" ref="C33:C51" si="0">C8</f>
        <v>Tvarios aplinkos kūrimas, aplinkosauginio sąmoningumo didinimas</v>
      </c>
      <c r="D33" s="693">
        <f>'15'!O9</f>
        <v>11967</v>
      </c>
      <c r="E33" s="693">
        <f>'15'!P9</f>
        <v>0</v>
      </c>
      <c r="F33" s="693">
        <f>'15'!Q9</f>
        <v>0</v>
      </c>
      <c r="G33" s="693">
        <f>'15'!R9</f>
        <v>0</v>
      </c>
      <c r="H33" s="693">
        <f>'15'!S9</f>
        <v>0</v>
      </c>
      <c r="I33" s="693">
        <f>'15'!T9</f>
        <v>0</v>
      </c>
      <c r="J33" s="693">
        <f>'15'!U9</f>
        <v>0</v>
      </c>
      <c r="K33" s="693">
        <f>'15'!V9</f>
        <v>0</v>
      </c>
    </row>
    <row r="34" spans="2:11" ht="28.8" x14ac:dyDescent="0.3">
      <c r="B34" s="692" t="s">
        <v>2</v>
      </c>
      <c r="C34" s="184" t="str">
        <f t="shared" si="0"/>
        <v>Jaunimo ir su jaunimu dirbančių organizacijų stiprinimas, jaunimo užimtumo įvairinimas</v>
      </c>
      <c r="D34" s="693">
        <f>'15'!O10</f>
        <v>0</v>
      </c>
      <c r="E34" s="693">
        <f>'15'!P10</f>
        <v>20000</v>
      </c>
      <c r="F34" s="693">
        <f>'15'!Q10</f>
        <v>0</v>
      </c>
      <c r="G34" s="693">
        <f>'15'!R10</f>
        <v>0</v>
      </c>
      <c r="H34" s="693">
        <f>'15'!S10</f>
        <v>20000</v>
      </c>
      <c r="I34" s="693">
        <f>'15'!T10</f>
        <v>0</v>
      </c>
      <c r="J34" s="693">
        <f>'15'!U10</f>
        <v>0</v>
      </c>
      <c r="K34" s="693">
        <f>'15'!V10</f>
        <v>0</v>
      </c>
    </row>
    <row r="35" spans="2:11" x14ac:dyDescent="0.3">
      <c r="B35" s="692" t="s">
        <v>3</v>
      </c>
      <c r="C35" s="184" t="str">
        <f t="shared" si="0"/>
        <v>Potencialių pareiškėjų ir projektų vykdytojų mokymai</v>
      </c>
      <c r="D35" s="693">
        <f>'15'!O11</f>
        <v>0</v>
      </c>
      <c r="E35" s="693">
        <f>'15'!P11</f>
        <v>30000</v>
      </c>
      <c r="F35" s="693">
        <f>'15'!Q11</f>
        <v>0</v>
      </c>
      <c r="G35" s="693">
        <f>'15'!R11</f>
        <v>0</v>
      </c>
      <c r="H35" s="693">
        <f>'15'!S11</f>
        <v>0</v>
      </c>
      <c r="I35" s="693">
        <f>'15'!T11</f>
        <v>0</v>
      </c>
      <c r="J35" s="693">
        <f>'15'!U11</f>
        <v>0</v>
      </c>
      <c r="K35" s="693">
        <f>'15'!V11</f>
        <v>0</v>
      </c>
    </row>
    <row r="36" spans="2:11" x14ac:dyDescent="0.3">
      <c r="B36" s="692" t="s">
        <v>4</v>
      </c>
      <c r="C36" s="184" t="str">
        <f t="shared" si="0"/>
        <v>Skaitmeninių, informacinių, komunikacinių technologijų taikymas versle</v>
      </c>
      <c r="D36" s="693">
        <f>'15'!O12</f>
        <v>70000</v>
      </c>
      <c r="E36" s="693">
        <f>'15'!P12</f>
        <v>0</v>
      </c>
      <c r="F36" s="693">
        <f>'15'!Q12</f>
        <v>0</v>
      </c>
      <c r="G36" s="693">
        <f>'15'!R12</f>
        <v>0</v>
      </c>
      <c r="H36" s="693">
        <f>'15'!S12</f>
        <v>0</v>
      </c>
      <c r="I36" s="693">
        <f>'15'!T12</f>
        <v>0</v>
      </c>
      <c r="J36" s="693">
        <f>'15'!U12</f>
        <v>0</v>
      </c>
      <c r="K36" s="693">
        <f>'15'!V12</f>
        <v>0</v>
      </c>
    </row>
    <row r="37" spans="2:11" x14ac:dyDescent="0.3">
      <c r="B37" s="692" t="s">
        <v>5</v>
      </c>
      <c r="C37" s="184" t="str">
        <f t="shared" si="0"/>
        <v>Vietos produktų /paslaugų kūrimas ir (ar) populiarinimas taikant inovacijas</v>
      </c>
      <c r="D37" s="693">
        <f>'15'!O13</f>
        <v>100001</v>
      </c>
      <c r="E37" s="693">
        <f>'15'!P13</f>
        <v>0</v>
      </c>
      <c r="F37" s="693">
        <f>'15'!Q13</f>
        <v>0</v>
      </c>
      <c r="G37" s="693">
        <f>'15'!R13</f>
        <v>0</v>
      </c>
      <c r="H37" s="693">
        <f>'15'!S13</f>
        <v>0</v>
      </c>
      <c r="I37" s="693">
        <f>'15'!T13</f>
        <v>0</v>
      </c>
      <c r="J37" s="693">
        <f>'15'!U13</f>
        <v>0</v>
      </c>
      <c r="K37" s="693">
        <f>'15'!V13</f>
        <v>0</v>
      </c>
    </row>
    <row r="38" spans="2:11" x14ac:dyDescent="0.3">
      <c r="B38" s="692" t="s">
        <v>6</v>
      </c>
      <c r="C38" s="184" t="str">
        <f t="shared" si="0"/>
        <v>Paslaugų įvairinimas/kūrimas, stiprinant materialinę bazę ir (ar) kompetencijas</v>
      </c>
      <c r="D38" s="693">
        <f>'15'!O14</f>
        <v>0</v>
      </c>
      <c r="E38" s="693">
        <f>'15'!P14</f>
        <v>140000</v>
      </c>
      <c r="F38" s="693">
        <f>'15'!Q14</f>
        <v>0</v>
      </c>
      <c r="G38" s="693">
        <f>'15'!R14</f>
        <v>0</v>
      </c>
      <c r="H38" s="693">
        <f>'15'!S14</f>
        <v>0</v>
      </c>
      <c r="I38" s="693">
        <f>'15'!T14</f>
        <v>0</v>
      </c>
      <c r="J38" s="693">
        <f>'15'!U14</f>
        <v>0</v>
      </c>
      <c r="K38" s="693">
        <f>'15'!V14</f>
        <v>0</v>
      </c>
    </row>
    <row r="39" spans="2:11" ht="28.8" x14ac:dyDescent="0.3">
      <c r="B39" s="692" t="s">
        <v>7</v>
      </c>
      <c r="C39" s="184" t="str">
        <f t="shared" si="0"/>
        <v xml:space="preserve">Vietos gyventojų socialinio aktyvumo bei verslumo skatinimas įtraukiant pažeidžiamas grupes </v>
      </c>
      <c r="D39" s="693">
        <f>'15'!O15</f>
        <v>0</v>
      </c>
      <c r="E39" s="693">
        <f>'15'!P15</f>
        <v>0</v>
      </c>
      <c r="F39" s="693">
        <f>'15'!Q15</f>
        <v>0</v>
      </c>
      <c r="G39" s="693">
        <f>'15'!R15</f>
        <v>0</v>
      </c>
      <c r="H39" s="693">
        <f>'15'!S15</f>
        <v>0</v>
      </c>
      <c r="I39" s="693">
        <f>'15'!T15</f>
        <v>0</v>
      </c>
      <c r="J39" s="693">
        <f>'15'!U15</f>
        <v>0</v>
      </c>
      <c r="K39" s="693">
        <f>'15'!V15</f>
        <v>0</v>
      </c>
    </row>
    <row r="40" spans="2:11" x14ac:dyDescent="0.3">
      <c r="B40" s="692" t="s">
        <v>8</v>
      </c>
      <c r="C40" s="184" t="str">
        <f t="shared" si="0"/>
        <v>Bendruomeninio verslo kūrimas skatinant savanorystę</v>
      </c>
      <c r="D40" s="693">
        <f>'15'!O16</f>
        <v>0</v>
      </c>
      <c r="E40" s="693">
        <f>'15'!P16</f>
        <v>0</v>
      </c>
      <c r="F40" s="693">
        <f>'15'!Q16</f>
        <v>0</v>
      </c>
      <c r="G40" s="693">
        <f>'15'!R16</f>
        <v>0</v>
      </c>
      <c r="H40" s="693">
        <f>'15'!S16</f>
        <v>100000</v>
      </c>
      <c r="I40" s="693">
        <f>'15'!T16</f>
        <v>0</v>
      </c>
      <c r="J40" s="693">
        <f>'15'!U16</f>
        <v>0</v>
      </c>
      <c r="K40" s="693">
        <f>'15'!V16</f>
        <v>0</v>
      </c>
    </row>
    <row r="41" spans="2:11" x14ac:dyDescent="0.3">
      <c r="B41" s="692" t="s">
        <v>9</v>
      </c>
      <c r="C41" s="184" t="str">
        <f t="shared" si="0"/>
        <v>Tarptautinis, teritorinis bendradarbiavimas</v>
      </c>
      <c r="D41" s="693">
        <f>'15'!O17</f>
        <v>0</v>
      </c>
      <c r="E41" s="693">
        <f>'15'!P17</f>
        <v>0</v>
      </c>
      <c r="F41" s="693">
        <f>'15'!Q17</f>
        <v>0</v>
      </c>
      <c r="G41" s="693">
        <f>'15'!R17</f>
        <v>0</v>
      </c>
      <c r="H41" s="693">
        <f>'15'!S17</f>
        <v>0</v>
      </c>
      <c r="I41" s="693">
        <f>'15'!T17</f>
        <v>0</v>
      </c>
      <c r="J41" s="693">
        <f>'15'!U17</f>
        <v>0</v>
      </c>
      <c r="K41" s="693">
        <f>'15'!V17</f>
        <v>0</v>
      </c>
    </row>
    <row r="42" spans="2:11" x14ac:dyDescent="0.3">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x14ac:dyDescent="0.3">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x14ac:dyDescent="0.3">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x14ac:dyDescent="0.3">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x14ac:dyDescent="0.3">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x14ac:dyDescent="0.3">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x14ac:dyDescent="0.3">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x14ac:dyDescent="0.3">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x14ac:dyDescent="0.3">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x14ac:dyDescent="0.3">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x14ac:dyDescent="0.3">
      <c r="B52" s="30"/>
      <c r="C52" s="30" t="s">
        <v>160</v>
      </c>
      <c r="D52" s="694">
        <f>'15'!O28</f>
        <v>181968</v>
      </c>
      <c r="E52" s="694">
        <f>'15'!P28</f>
        <v>238000</v>
      </c>
      <c r="F52" s="694">
        <f>'15'!Q28</f>
        <v>0</v>
      </c>
      <c r="G52" s="694">
        <f>'15'!R28</f>
        <v>0</v>
      </c>
      <c r="H52" s="694">
        <f>'15'!S28</f>
        <v>120000</v>
      </c>
      <c r="I52" s="694">
        <f>'15'!T28</f>
        <v>48000</v>
      </c>
      <c r="J52" s="694">
        <f>'15'!U28</f>
        <v>0</v>
      </c>
      <c r="K52" s="694">
        <f>'15'!V28</f>
        <v>0</v>
      </c>
    </row>
    <row r="53" spans="2:11" ht="30" customHeight="1" x14ac:dyDescent="0.3">
      <c r="B53" s="696" t="s">
        <v>1295</v>
      </c>
      <c r="C53" s="768" t="str">
        <f>'15'!C29</f>
        <v>Faktinis kvietimų skaičius konkrečiais metais gali nesutapti su lentelėje nurodytu. Konkrečių metų kvietimai suplanuojami rengiant metinį kvietimų grafiką, kuris skelbiamas VVG svetainėje.</v>
      </c>
      <c r="D53" s="768"/>
      <c r="E53" s="768"/>
      <c r="F53" s="768"/>
      <c r="G53" s="768"/>
      <c r="H53" s="768"/>
      <c r="I53" s="768"/>
      <c r="J53" s="768"/>
      <c r="K53" s="768"/>
    </row>
    <row r="55" spans="2:11" ht="43.2" x14ac:dyDescent="0.3">
      <c r="B55" s="21" t="s">
        <v>54</v>
      </c>
      <c r="C55" s="20" t="s">
        <v>53</v>
      </c>
      <c r="D55" s="769" t="s">
        <v>104</v>
      </c>
      <c r="E55" s="769"/>
      <c r="F55" s="769"/>
      <c r="G55" s="769"/>
      <c r="H55" s="769" t="s">
        <v>105</v>
      </c>
      <c r="I55" s="769"/>
      <c r="J55" s="769"/>
      <c r="K55" s="769"/>
    </row>
    <row r="56" spans="2:11" x14ac:dyDescent="0.3">
      <c r="B56" s="21"/>
      <c r="C56" s="20"/>
      <c r="D56" s="224" t="s">
        <v>96</v>
      </c>
      <c r="E56" s="224" t="s">
        <v>97</v>
      </c>
      <c r="F56" s="224" t="s">
        <v>98</v>
      </c>
      <c r="G56" s="224" t="s">
        <v>99</v>
      </c>
      <c r="H56" s="224" t="s">
        <v>96</v>
      </c>
      <c r="I56" s="224" t="s">
        <v>97</v>
      </c>
      <c r="J56" s="224" t="s">
        <v>98</v>
      </c>
      <c r="K56" s="224" t="s">
        <v>99</v>
      </c>
    </row>
    <row r="57" spans="2:11" x14ac:dyDescent="0.3">
      <c r="B57" s="692" t="s">
        <v>0</v>
      </c>
      <c r="C57" s="184" t="str">
        <f>C7</f>
        <v>Kraštovaizdžio išsaugojimas ir pritaikymas poilsiui, sveikatinimui, turzmui</v>
      </c>
      <c r="D57" s="693">
        <f>'15'!W8</f>
        <v>24000</v>
      </c>
      <c r="E57" s="693">
        <f>'15'!X8</f>
        <v>0</v>
      </c>
      <c r="F57" s="693">
        <f>'15'!Y8</f>
        <v>0</v>
      </c>
      <c r="G57" s="693">
        <f>'15'!Z8</f>
        <v>0</v>
      </c>
      <c r="H57" s="693">
        <f>'15'!AA8</f>
        <v>0</v>
      </c>
      <c r="I57" s="693">
        <f>'15'!AB8</f>
        <v>0</v>
      </c>
      <c r="J57" s="693">
        <f>'15'!AC8</f>
        <v>0</v>
      </c>
      <c r="K57" s="693">
        <f>'15'!AD8</f>
        <v>0</v>
      </c>
    </row>
    <row r="58" spans="2:11" x14ac:dyDescent="0.3">
      <c r="B58" s="692" t="s">
        <v>1</v>
      </c>
      <c r="C58" s="184" t="str">
        <f t="shared" ref="C58:C76" si="1">C8</f>
        <v>Tvarios aplinkos kūrimas, aplinkosauginio sąmoningumo didinimas</v>
      </c>
      <c r="D58" s="693">
        <f>'15'!W9</f>
        <v>0</v>
      </c>
      <c r="E58" s="693">
        <f>'15'!X9</f>
        <v>0</v>
      </c>
      <c r="F58" s="693">
        <f>'15'!Y9</f>
        <v>0</v>
      </c>
      <c r="G58" s="693">
        <f>'15'!Z9</f>
        <v>0</v>
      </c>
      <c r="H58" s="693">
        <f>'15'!AA9</f>
        <v>0</v>
      </c>
      <c r="I58" s="693">
        <f>'15'!AB9</f>
        <v>0</v>
      </c>
      <c r="J58" s="693">
        <f>'15'!AC9</f>
        <v>0</v>
      </c>
      <c r="K58" s="693">
        <f>'15'!AD9</f>
        <v>0</v>
      </c>
    </row>
    <row r="59" spans="2:11" ht="28.8" x14ac:dyDescent="0.3">
      <c r="B59" s="692" t="s">
        <v>2</v>
      </c>
      <c r="C59" s="184" t="str">
        <f t="shared" si="1"/>
        <v>Jaunimo ir su jaunimu dirbančių organizacijų stiprinimas, jaunimo užimtumo įvairinimas</v>
      </c>
      <c r="D59" s="693">
        <f>'15'!W10</f>
        <v>10000</v>
      </c>
      <c r="E59" s="693">
        <f>'15'!X10</f>
        <v>0</v>
      </c>
      <c r="F59" s="693">
        <f>'15'!Y10</f>
        <v>0</v>
      </c>
      <c r="G59" s="693">
        <f>'15'!Z10</f>
        <v>0</v>
      </c>
      <c r="H59" s="693">
        <f>'15'!AA10</f>
        <v>0</v>
      </c>
      <c r="I59" s="693">
        <f>'15'!AB10</f>
        <v>0</v>
      </c>
      <c r="J59" s="693">
        <f>'15'!AC10</f>
        <v>0</v>
      </c>
      <c r="K59" s="693">
        <f>'15'!AD10</f>
        <v>0</v>
      </c>
    </row>
    <row r="60" spans="2:11" x14ac:dyDescent="0.3">
      <c r="B60" s="692" t="s">
        <v>3</v>
      </c>
      <c r="C60" s="184" t="str">
        <f t="shared" si="1"/>
        <v>Potencialių pareiškėjų ir projektų vykdytojų mokymai</v>
      </c>
      <c r="D60" s="693">
        <f>'15'!W11</f>
        <v>0</v>
      </c>
      <c r="E60" s="693">
        <f>'15'!X11</f>
        <v>0</v>
      </c>
      <c r="F60" s="693">
        <f>'15'!Y11</f>
        <v>0</v>
      </c>
      <c r="G60" s="693">
        <f>'15'!Z11</f>
        <v>0</v>
      </c>
      <c r="H60" s="693">
        <f>'15'!AA11</f>
        <v>0</v>
      </c>
      <c r="I60" s="693">
        <f>'15'!AB11</f>
        <v>0</v>
      </c>
      <c r="J60" s="693">
        <f>'15'!AC11</f>
        <v>0</v>
      </c>
      <c r="K60" s="693">
        <f>'15'!AD11</f>
        <v>0</v>
      </c>
    </row>
    <row r="61" spans="2:11" x14ac:dyDescent="0.3">
      <c r="B61" s="692" t="s">
        <v>4</v>
      </c>
      <c r="C61" s="184" t="str">
        <f t="shared" si="1"/>
        <v>Skaitmeninių, informacinių, komunikacinių technologijų taikymas versle</v>
      </c>
      <c r="D61" s="693">
        <f>'15'!W12</f>
        <v>0</v>
      </c>
      <c r="E61" s="693">
        <f>'15'!X12</f>
        <v>0</v>
      </c>
      <c r="F61" s="693">
        <f>'15'!Y12</f>
        <v>0</v>
      </c>
      <c r="G61" s="693">
        <f>'15'!Z12</f>
        <v>0</v>
      </c>
      <c r="H61" s="693">
        <f>'15'!AA12</f>
        <v>0</v>
      </c>
      <c r="I61" s="693">
        <f>'15'!AB12</f>
        <v>0</v>
      </c>
      <c r="J61" s="693">
        <f>'15'!AC12</f>
        <v>0</v>
      </c>
      <c r="K61" s="693">
        <f>'15'!AD12</f>
        <v>0</v>
      </c>
    </row>
    <row r="62" spans="2:11" x14ac:dyDescent="0.3">
      <c r="B62" s="692" t="s">
        <v>5</v>
      </c>
      <c r="C62" s="184" t="str">
        <f t="shared" si="1"/>
        <v>Vietos produktų /paslaugų kūrimas ir (ar) populiarinimas taikant inovacijas</v>
      </c>
      <c r="D62" s="693">
        <f>'15'!W13</f>
        <v>0</v>
      </c>
      <c r="E62" s="693">
        <f>'15'!X13</f>
        <v>0</v>
      </c>
      <c r="F62" s="693">
        <f>'15'!Y13</f>
        <v>0</v>
      </c>
      <c r="G62" s="693">
        <f>'15'!Z13</f>
        <v>0</v>
      </c>
      <c r="H62" s="693">
        <f>'15'!AA13</f>
        <v>0</v>
      </c>
      <c r="I62" s="693">
        <f>'15'!AB13</f>
        <v>0</v>
      </c>
      <c r="J62" s="693">
        <f>'15'!AC13</f>
        <v>0</v>
      </c>
      <c r="K62" s="693">
        <f>'15'!AD13</f>
        <v>0</v>
      </c>
    </row>
    <row r="63" spans="2:11" x14ac:dyDescent="0.3">
      <c r="B63" s="692" t="s">
        <v>6</v>
      </c>
      <c r="C63" s="184" t="str">
        <f t="shared" si="1"/>
        <v>Paslaugų įvairinimas/kūrimas, stiprinant materialinę bazę ir (ar) kompetencijas</v>
      </c>
      <c r="D63" s="693">
        <f>'15'!W14</f>
        <v>0</v>
      </c>
      <c r="E63" s="693">
        <f>'15'!X14</f>
        <v>0</v>
      </c>
      <c r="F63" s="693">
        <f>'15'!Y14</f>
        <v>0</v>
      </c>
      <c r="G63" s="693">
        <f>'15'!Z14</f>
        <v>0</v>
      </c>
      <c r="H63" s="693">
        <f>'15'!AA14</f>
        <v>0</v>
      </c>
      <c r="I63" s="693">
        <f>'15'!AB14</f>
        <v>0</v>
      </c>
      <c r="J63" s="693">
        <f>'15'!AC14</f>
        <v>0</v>
      </c>
      <c r="K63" s="693">
        <f>'15'!AD14</f>
        <v>0</v>
      </c>
    </row>
    <row r="64" spans="2:11" ht="28.8" x14ac:dyDescent="0.3">
      <c r="B64" s="692" t="s">
        <v>7</v>
      </c>
      <c r="C64" s="184" t="str">
        <f t="shared" si="1"/>
        <v xml:space="preserve">Vietos gyventojų socialinio aktyvumo bei verslumo skatinimas įtraukiant pažeidžiamas grupes </v>
      </c>
      <c r="D64" s="693">
        <f>'15'!W15</f>
        <v>0</v>
      </c>
      <c r="E64" s="693">
        <f>'15'!X15</f>
        <v>0</v>
      </c>
      <c r="F64" s="693">
        <f>'15'!Y15</f>
        <v>0</v>
      </c>
      <c r="G64" s="693">
        <f>'15'!Z15</f>
        <v>0</v>
      </c>
      <c r="H64" s="693">
        <f>'15'!AA15</f>
        <v>0</v>
      </c>
      <c r="I64" s="693">
        <f>'15'!AB15</f>
        <v>0</v>
      </c>
      <c r="J64" s="693">
        <f>'15'!AC15</f>
        <v>0</v>
      </c>
      <c r="K64" s="693">
        <f>'15'!AD15</f>
        <v>0</v>
      </c>
    </row>
    <row r="65" spans="2:11" x14ac:dyDescent="0.3">
      <c r="B65" s="692" t="s">
        <v>8</v>
      </c>
      <c r="C65" s="184" t="str">
        <f t="shared" si="1"/>
        <v>Bendruomeninio verslo kūrimas skatinant savanorystę</v>
      </c>
      <c r="D65" s="693">
        <f>'15'!W16</f>
        <v>0</v>
      </c>
      <c r="E65" s="693">
        <f>'15'!X16</f>
        <v>0</v>
      </c>
      <c r="F65" s="693">
        <f>'15'!Y16</f>
        <v>0</v>
      </c>
      <c r="G65" s="693">
        <f>'15'!Z16</f>
        <v>0</v>
      </c>
      <c r="H65" s="693">
        <f>'15'!AA16</f>
        <v>0</v>
      </c>
      <c r="I65" s="693">
        <f>'15'!AB16</f>
        <v>0</v>
      </c>
      <c r="J65" s="693">
        <f>'15'!AC16</f>
        <v>0</v>
      </c>
      <c r="K65" s="693">
        <f>'15'!AD16</f>
        <v>0</v>
      </c>
    </row>
    <row r="66" spans="2:11" x14ac:dyDescent="0.3">
      <c r="B66" s="692" t="s">
        <v>9</v>
      </c>
      <c r="C66" s="184" t="str">
        <f t="shared" si="1"/>
        <v>Tarptautinis, teritorinis bendradarbiavimas</v>
      </c>
      <c r="D66" s="693">
        <f>'15'!W17</f>
        <v>0</v>
      </c>
      <c r="E66" s="693">
        <f>'15'!X17</f>
        <v>0</v>
      </c>
      <c r="F66" s="693">
        <f>'15'!Y17</f>
        <v>0</v>
      </c>
      <c r="G66" s="693">
        <f>'15'!Z17</f>
        <v>0</v>
      </c>
      <c r="H66" s="693">
        <f>'15'!AA17</f>
        <v>0</v>
      </c>
      <c r="I66" s="693">
        <f>'15'!AB17</f>
        <v>0</v>
      </c>
      <c r="J66" s="693">
        <f>'15'!AC17</f>
        <v>0</v>
      </c>
      <c r="K66" s="693">
        <f>'15'!AD17</f>
        <v>0</v>
      </c>
    </row>
    <row r="67" spans="2:11" x14ac:dyDescent="0.3">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x14ac:dyDescent="0.3">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x14ac:dyDescent="0.3">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x14ac:dyDescent="0.3">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x14ac:dyDescent="0.3">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x14ac:dyDescent="0.3">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x14ac:dyDescent="0.3">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x14ac:dyDescent="0.3">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x14ac:dyDescent="0.3">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x14ac:dyDescent="0.3">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x14ac:dyDescent="0.3">
      <c r="B77" s="30"/>
      <c r="C77" s="30" t="s">
        <v>160</v>
      </c>
      <c r="D77" s="694">
        <f>'15'!W28</f>
        <v>34000</v>
      </c>
      <c r="E77" s="694">
        <f>'15'!X28</f>
        <v>0</v>
      </c>
      <c r="F77" s="694">
        <f>'15'!Y28</f>
        <v>0</v>
      </c>
      <c r="G77" s="694">
        <f>'15'!Z28</f>
        <v>0</v>
      </c>
      <c r="H77" s="694">
        <f>'15'!AA28</f>
        <v>0</v>
      </c>
      <c r="I77" s="694">
        <f>'15'!AB28</f>
        <v>0</v>
      </c>
      <c r="J77" s="694">
        <f>'15'!AC28</f>
        <v>0</v>
      </c>
      <c r="K77" s="694">
        <f>'15'!AD28</f>
        <v>0</v>
      </c>
    </row>
    <row r="78" spans="2:11" ht="30" customHeight="1" x14ac:dyDescent="0.3">
      <c r="B78" s="696" t="s">
        <v>1295</v>
      </c>
      <c r="C78" s="768" t="str">
        <f>'15'!C29</f>
        <v>Faktinis kvietimų skaičius konkrečiais metais gali nesutapti su lentelėje nurodytu. Konkrečių metų kvietimai suplanuojami rengiant metinį kvietimų grafiką, kuris skelbiamas VVG svetainėje.</v>
      </c>
      <c r="D78" s="768"/>
      <c r="E78" s="768"/>
      <c r="F78" s="768"/>
      <c r="G78" s="768"/>
      <c r="H78" s="768"/>
      <c r="I78" s="768"/>
      <c r="J78" s="768"/>
      <c r="K78" s="768"/>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234D-8E7D-42A9-BFB3-765F4AEF224F}">
  <dimension ref="A1"/>
  <sheetViews>
    <sheetView workbookViewId="0"/>
  </sheetViews>
  <sheetFormatPr defaultRowHeight="14.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E144"/>
  <sheetViews>
    <sheetView workbookViewId="0">
      <selection activeCell="A7" sqref="A7"/>
    </sheetView>
  </sheetViews>
  <sheetFormatPr defaultColWidth="9.109375" defaultRowHeight="15.6" x14ac:dyDescent="0.3"/>
  <cols>
    <col min="1" max="1" width="95.88671875" style="54" customWidth="1"/>
    <col min="2" max="2" width="20.6640625" style="54" customWidth="1"/>
    <col min="3" max="3" width="52" style="55" customWidth="1"/>
    <col min="4" max="4" width="20.6640625" style="55" customWidth="1"/>
    <col min="5" max="16384" width="9.109375" style="55"/>
  </cols>
  <sheetData>
    <row r="1" spans="1:3" x14ac:dyDescent="0.3">
      <c r="A1" s="477" t="s">
        <v>1506</v>
      </c>
    </row>
    <row r="2" spans="1:3" x14ac:dyDescent="0.3">
      <c r="A2" s="73" t="s">
        <v>1507</v>
      </c>
    </row>
    <row r="3" spans="1:3" x14ac:dyDescent="0.3">
      <c r="A3" s="73" t="s">
        <v>1508</v>
      </c>
    </row>
    <row r="4" spans="1:3" x14ac:dyDescent="0.3">
      <c r="A4" s="73" t="s">
        <v>1620</v>
      </c>
    </row>
    <row r="6" spans="1:3" x14ac:dyDescent="0.3">
      <c r="A6" s="53" t="s">
        <v>41</v>
      </c>
    </row>
    <row r="7" spans="1:3" x14ac:dyDescent="0.3">
      <c r="A7" s="56" t="s">
        <v>27</v>
      </c>
      <c r="B7" s="730" t="s">
        <v>40</v>
      </c>
    </row>
    <row r="8" spans="1:3" x14ac:dyDescent="0.3">
      <c r="A8" s="57" t="s">
        <v>31</v>
      </c>
      <c r="B8" s="731" t="s">
        <v>1274</v>
      </c>
      <c r="C8" s="55" t="s">
        <v>212</v>
      </c>
    </row>
    <row r="9" spans="1:3" x14ac:dyDescent="0.3">
      <c r="A9" s="57" t="s">
        <v>32</v>
      </c>
      <c r="B9" s="58" t="s">
        <v>1275</v>
      </c>
      <c r="C9" s="55" t="s">
        <v>212</v>
      </c>
    </row>
    <row r="10" spans="1:3" x14ac:dyDescent="0.3">
      <c r="A10" s="57" t="s">
        <v>33</v>
      </c>
      <c r="B10" s="58" t="s">
        <v>1276</v>
      </c>
      <c r="C10" s="55" t="s">
        <v>212</v>
      </c>
    </row>
    <row r="11" spans="1:3" x14ac:dyDescent="0.3">
      <c r="A11" s="57" t="s">
        <v>1702</v>
      </c>
      <c r="B11" s="58" t="s">
        <v>1277</v>
      </c>
      <c r="C11" s="55" t="s">
        <v>212</v>
      </c>
    </row>
    <row r="12" spans="1:3" x14ac:dyDescent="0.3">
      <c r="A12" s="57" t="s">
        <v>34</v>
      </c>
      <c r="B12" s="58" t="s">
        <v>1278</v>
      </c>
      <c r="C12" s="55" t="s">
        <v>212</v>
      </c>
    </row>
    <row r="13" spans="1:3" x14ac:dyDescent="0.3">
      <c r="A13" s="57" t="s">
        <v>1695</v>
      </c>
      <c r="B13" s="58" t="s">
        <v>1279</v>
      </c>
      <c r="C13" s="55" t="s">
        <v>212</v>
      </c>
    </row>
    <row r="14" spans="1:3" x14ac:dyDescent="0.3">
      <c r="A14" s="57" t="s">
        <v>1696</v>
      </c>
      <c r="B14" s="58" t="s">
        <v>1280</v>
      </c>
      <c r="C14" s="55" t="s">
        <v>212</v>
      </c>
    </row>
    <row r="15" spans="1:3" x14ac:dyDescent="0.3">
      <c r="A15" s="57" t="s">
        <v>1704</v>
      </c>
      <c r="B15" s="58" t="s">
        <v>1281</v>
      </c>
      <c r="C15" s="55" t="s">
        <v>212</v>
      </c>
    </row>
    <row r="16" spans="1:3" x14ac:dyDescent="0.3">
      <c r="A16" s="57" t="s">
        <v>1697</v>
      </c>
      <c r="B16" s="58" t="s">
        <v>1282</v>
      </c>
      <c r="C16" s="55" t="s">
        <v>212</v>
      </c>
    </row>
    <row r="17" spans="1:3" x14ac:dyDescent="0.3">
      <c r="A17" s="57" t="s">
        <v>36</v>
      </c>
      <c r="B17" s="58" t="s">
        <v>35</v>
      </c>
      <c r="C17" s="55" t="s">
        <v>212</v>
      </c>
    </row>
    <row r="18" spans="1:3" x14ac:dyDescent="0.3">
      <c r="A18" s="57" t="s">
        <v>38</v>
      </c>
      <c r="B18" s="58" t="s">
        <v>37</v>
      </c>
      <c r="C18" s="55" t="s">
        <v>215</v>
      </c>
    </row>
    <row r="19" spans="1:3" x14ac:dyDescent="0.3">
      <c r="A19" s="59" t="s">
        <v>39</v>
      </c>
      <c r="B19" s="60" t="s">
        <v>1701</v>
      </c>
      <c r="C19" s="55" t="s">
        <v>215</v>
      </c>
    </row>
    <row r="22" spans="1:3" x14ac:dyDescent="0.3">
      <c r="A22" s="61" t="s">
        <v>458</v>
      </c>
    </row>
    <row r="23" spans="1:3" x14ac:dyDescent="0.3">
      <c r="A23" s="62" t="s">
        <v>77</v>
      </c>
    </row>
    <row r="24" spans="1:3" x14ac:dyDescent="0.3">
      <c r="A24" s="63" t="s">
        <v>76</v>
      </c>
    </row>
    <row r="27" spans="1:3" x14ac:dyDescent="0.3">
      <c r="A27" s="61" t="s">
        <v>459</v>
      </c>
    </row>
    <row r="28" spans="1:3" x14ac:dyDescent="0.3">
      <c r="A28" s="62" t="s">
        <v>232</v>
      </c>
    </row>
    <row r="29" spans="1:3" x14ac:dyDescent="0.3">
      <c r="A29" s="64" t="s">
        <v>233</v>
      </c>
    </row>
    <row r="30" spans="1:3" x14ac:dyDescent="0.3">
      <c r="A30" s="63" t="s">
        <v>76</v>
      </c>
    </row>
    <row r="31" spans="1:3" x14ac:dyDescent="0.3">
      <c r="A31" s="65"/>
    </row>
    <row r="32" spans="1:3" x14ac:dyDescent="0.3">
      <c r="A32" s="65"/>
    </row>
    <row r="33" spans="1:1" x14ac:dyDescent="0.3">
      <c r="A33" s="61" t="s">
        <v>1142</v>
      </c>
    </row>
    <row r="34" spans="1:1" x14ac:dyDescent="0.3">
      <c r="A34" s="62" t="s">
        <v>1097</v>
      </c>
    </row>
    <row r="35" spans="1:1" x14ac:dyDescent="0.3">
      <c r="A35" s="62" t="s">
        <v>1140</v>
      </c>
    </row>
    <row r="36" spans="1:1" x14ac:dyDescent="0.3">
      <c r="A36" s="189" t="s">
        <v>1141</v>
      </c>
    </row>
    <row r="37" spans="1:1" x14ac:dyDescent="0.3">
      <c r="A37" s="65"/>
    </row>
    <row r="39" spans="1:1" x14ac:dyDescent="0.3">
      <c r="A39" s="66" t="s">
        <v>379</v>
      </c>
    </row>
    <row r="40" spans="1:1" x14ac:dyDescent="0.3">
      <c r="A40" s="58" t="s">
        <v>1097</v>
      </c>
    </row>
    <row r="41" spans="1:1" x14ac:dyDescent="0.3">
      <c r="A41" s="64" t="s">
        <v>371</v>
      </c>
    </row>
    <row r="42" spans="1:1" x14ac:dyDescent="0.3">
      <c r="A42" s="64" t="s">
        <v>372</v>
      </c>
    </row>
    <row r="43" spans="1:1" x14ac:dyDescent="0.3">
      <c r="A43" s="58" t="s">
        <v>374</v>
      </c>
    </row>
    <row r="44" spans="1:1" x14ac:dyDescent="0.3">
      <c r="A44" s="58" t="s">
        <v>375</v>
      </c>
    </row>
    <row r="45" spans="1:1" x14ac:dyDescent="0.3">
      <c r="A45" s="58" t="s">
        <v>376</v>
      </c>
    </row>
    <row r="46" spans="1:1" x14ac:dyDescent="0.3">
      <c r="A46" s="64" t="s">
        <v>377</v>
      </c>
    </row>
    <row r="47" spans="1:1" x14ac:dyDescent="0.3">
      <c r="A47" s="58" t="s">
        <v>378</v>
      </c>
    </row>
    <row r="48" spans="1:1" x14ac:dyDescent="0.3">
      <c r="A48" s="58" t="s">
        <v>381</v>
      </c>
    </row>
    <row r="49" spans="1:1" x14ac:dyDescent="0.3">
      <c r="A49" s="58" t="s">
        <v>1499</v>
      </c>
    </row>
    <row r="50" spans="1:1" x14ac:dyDescent="0.3">
      <c r="A50" s="60" t="s">
        <v>373</v>
      </c>
    </row>
    <row r="53" spans="1:1" x14ac:dyDescent="0.3">
      <c r="A53" s="66" t="s">
        <v>644</v>
      </c>
    </row>
    <row r="54" spans="1:1" x14ac:dyDescent="0.3">
      <c r="A54" s="67" t="s">
        <v>386</v>
      </c>
    </row>
    <row r="55" spans="1:1" x14ac:dyDescent="0.3">
      <c r="A55" s="68" t="s">
        <v>387</v>
      </c>
    </row>
    <row r="56" spans="1:1" x14ac:dyDescent="0.3">
      <c r="A56" s="68" t="s">
        <v>388</v>
      </c>
    </row>
    <row r="57" spans="1:1" x14ac:dyDescent="0.3">
      <c r="A57" s="68" t="s">
        <v>389</v>
      </c>
    </row>
    <row r="58" spans="1:1" x14ac:dyDescent="0.3">
      <c r="A58" s="68" t="s">
        <v>390</v>
      </c>
    </row>
    <row r="59" spans="1:1" x14ac:dyDescent="0.3">
      <c r="A59" s="68" t="s">
        <v>391</v>
      </c>
    </row>
    <row r="60" spans="1:1" x14ac:dyDescent="0.3">
      <c r="A60" s="68" t="s">
        <v>392</v>
      </c>
    </row>
    <row r="61" spans="1:1" x14ac:dyDescent="0.3">
      <c r="A61" s="68" t="s">
        <v>393</v>
      </c>
    </row>
    <row r="62" spans="1:1" x14ac:dyDescent="0.3">
      <c r="A62" s="68" t="s">
        <v>394</v>
      </c>
    </row>
    <row r="63" spans="1:1" x14ac:dyDescent="0.3">
      <c r="A63" s="69" t="s">
        <v>395</v>
      </c>
    </row>
    <row r="64" spans="1:1" x14ac:dyDescent="0.3">
      <c r="A64"/>
    </row>
    <row r="66" spans="1:1" x14ac:dyDescent="0.3">
      <c r="A66" s="66" t="s">
        <v>399</v>
      </c>
    </row>
    <row r="67" spans="1:1" x14ac:dyDescent="0.3">
      <c r="A67" s="58" t="s">
        <v>1097</v>
      </c>
    </row>
    <row r="68" spans="1:1" x14ac:dyDescent="0.3">
      <c r="A68" s="58" t="str">
        <f>CONCATENATE('3'!B7,". ",'3'!C7)</f>
        <v>1 poreikis. Pritaikyti  kraštovaizdį,  kultūros ir gamtos paveldą laisvalaikio, vaikų užimtumo, sveikatingumo, turizmo veikloms.</v>
      </c>
    </row>
    <row r="69" spans="1:1" x14ac:dyDescent="0.3">
      <c r="A69" s="58" t="str">
        <f>CONCATENATE('3'!B8,". ",'3'!C8)</f>
        <v>2 poreikis. Stiprinti smulkiuosius verslus, taikant  inovatyvius ir/ar tvarius sprendimus, diegiant skaitmenizavimą.</v>
      </c>
    </row>
    <row r="70" spans="1:1" x14ac:dyDescent="0.3">
      <c r="A70" s="58" t="str">
        <f>CONCATENATE('3'!B9,". ",'3'!C9)</f>
        <v>3 poreikis. Stiprinti jaunimo, kaimo bendruomenių, kitų nevyriausybinių organizacijų iniciatyvas, skatinant verslumą, savanorystę, tvarų vartojimą</v>
      </c>
    </row>
    <row r="71" spans="1:1" x14ac:dyDescent="0.3">
      <c r="A71" s="58" t="str">
        <f>CONCATENATE('3'!B10,". ",'3'!C10)</f>
        <v>4 poreikis. Skatinti bendradarbiavimą tarp sektorių, ūkio subjektų populiarinant savo kraštą.</v>
      </c>
    </row>
    <row r="72" spans="1:1" x14ac:dyDescent="0.3">
      <c r="A72" s="58" t="str">
        <f>CONCATENATE('3'!B11,". ",'3'!C11)</f>
        <v>5 poreikis. Gerinti paslaugų kokybę,  didinti prieinamumą  ir įvairovę visoms  amžiaus ir/ar  socialiai pažeidžiamoms gyventojų grupėms.</v>
      </c>
    </row>
    <row r="73" spans="1:1" x14ac:dyDescent="0.3">
      <c r="A73" s="58" t="str">
        <f>CONCATENATE('3'!B12,". ",'3'!C12)</f>
        <v xml:space="preserve">6 poreikis. </v>
      </c>
    </row>
    <row r="74" spans="1:1" x14ac:dyDescent="0.3">
      <c r="A74" s="58" t="str">
        <f>CONCATENATE('3'!B13,". ",'3'!C13)</f>
        <v xml:space="preserve">7 poreikis. </v>
      </c>
    </row>
    <row r="75" spans="1:1" x14ac:dyDescent="0.3">
      <c r="A75" s="58" t="str">
        <f>CONCATENATE('3'!B14,". ",'3'!C14)</f>
        <v xml:space="preserve">8 poreikis. </v>
      </c>
    </row>
    <row r="76" spans="1:1" x14ac:dyDescent="0.3">
      <c r="A76" s="58" t="str">
        <f>CONCATENATE('3'!B15,". ",'3'!C15)</f>
        <v xml:space="preserve">9 poreikis. </v>
      </c>
    </row>
    <row r="77" spans="1:1" x14ac:dyDescent="0.3">
      <c r="A77" s="58" t="str">
        <f>CONCATENATE('3'!B16,". ",'3'!C16)</f>
        <v xml:space="preserve">10 poreikis. </v>
      </c>
    </row>
    <row r="78" spans="1:1" x14ac:dyDescent="0.3">
      <c r="A78" s="58" t="str">
        <f>CONCATENATE('3'!B17,". ",'3'!C17)</f>
        <v xml:space="preserve">11 poreikis. </v>
      </c>
    </row>
    <row r="79" spans="1:1" x14ac:dyDescent="0.3">
      <c r="A79" s="58" t="str">
        <f>CONCATENATE('3'!B18,". ",'3'!C18)</f>
        <v xml:space="preserve">12 poreikis. </v>
      </c>
    </row>
    <row r="80" spans="1:1" x14ac:dyDescent="0.3">
      <c r="A80" s="58" t="str">
        <f>CONCATENATE('3'!B19,". ",'3'!C19)</f>
        <v xml:space="preserve">13 poreikis. </v>
      </c>
    </row>
    <row r="81" spans="1:5" x14ac:dyDescent="0.3">
      <c r="A81" s="58" t="str">
        <f>CONCATENATE('3'!B20,". ",'3'!C20)</f>
        <v xml:space="preserve">14 poreikis. </v>
      </c>
    </row>
    <row r="82" spans="1:5" x14ac:dyDescent="0.3">
      <c r="A82" s="58" t="str">
        <f>CONCATENATE('3'!B21,". ",'3'!C21)</f>
        <v xml:space="preserve">15 poreikis. </v>
      </c>
    </row>
    <row r="83" spans="1:5" x14ac:dyDescent="0.3">
      <c r="A83" s="58" t="str">
        <f>CONCATENATE('3'!B22,". ",'3'!C22)</f>
        <v xml:space="preserve">16 poreikis. </v>
      </c>
    </row>
    <row r="84" spans="1:5" x14ac:dyDescent="0.3">
      <c r="A84" s="58" t="str">
        <f>CONCATENATE('3'!B23,". ",'3'!C23)</f>
        <v xml:space="preserve">17 poreikis. </v>
      </c>
    </row>
    <row r="85" spans="1:5" x14ac:dyDescent="0.3">
      <c r="A85" s="58" t="str">
        <f>CONCATENATE('3'!B24,". ",'3'!C24)</f>
        <v xml:space="preserve">18 poreikis. </v>
      </c>
    </row>
    <row r="86" spans="1:5" x14ac:dyDescent="0.3">
      <c r="A86" s="58" t="str">
        <f>CONCATENATE('3'!B25,". ",'3'!C25)</f>
        <v xml:space="preserve">19 poreikis. </v>
      </c>
    </row>
    <row r="87" spans="1:5" x14ac:dyDescent="0.3">
      <c r="A87" s="60" t="str">
        <f>CONCATENATE('3'!B26,". ",'3'!C26)</f>
        <v xml:space="preserve">20 poreikis. </v>
      </c>
    </row>
    <row r="90" spans="1:5" x14ac:dyDescent="0.3">
      <c r="A90" s="70" t="s">
        <v>277</v>
      </c>
      <c r="B90" s="481" t="s">
        <v>364</v>
      </c>
      <c r="C90" s="479"/>
      <c r="D90" s="479"/>
      <c r="E90" s="480"/>
    </row>
    <row r="91" spans="1:5" x14ac:dyDescent="0.3">
      <c r="A91" s="71" t="s">
        <v>1097</v>
      </c>
      <c r="E91" s="72"/>
    </row>
    <row r="92" spans="1:5" x14ac:dyDescent="0.3">
      <c r="A92" s="71" t="s">
        <v>1123</v>
      </c>
      <c r="E92" s="72"/>
    </row>
    <row r="93" spans="1:5" ht="20.399999999999999" x14ac:dyDescent="0.35">
      <c r="A93" s="478" t="s">
        <v>275</v>
      </c>
      <c r="E93" s="72"/>
    </row>
    <row r="94" spans="1:5" x14ac:dyDescent="0.3">
      <c r="A94" s="71" t="str">
        <f>CONCATENATE(B94,". ",C94)</f>
        <v xml:space="preserve">g.3 . Skatinti verslų kūrimąsi kaime, žemės ūkio veiklos įvairinimą </v>
      </c>
      <c r="B94" s="73" t="s">
        <v>266</v>
      </c>
      <c r="C94" s="74" t="s">
        <v>267</v>
      </c>
      <c r="D94" s="74" t="s">
        <v>285</v>
      </c>
      <c r="E94" s="75" t="s">
        <v>363</v>
      </c>
    </row>
    <row r="95" spans="1:5" x14ac:dyDescent="0.3">
      <c r="A95" s="71" t="str">
        <f t="shared" ref="A95:A144" si="0">CONCATENATE(B95,". ",C95)</f>
        <v>h.1. Skatinti kaimo gyventojų ir kaimo bendruomenių verslo iniciatyvas</v>
      </c>
      <c r="B95" s="73" t="s">
        <v>268</v>
      </c>
      <c r="C95" s="74" t="s">
        <v>269</v>
      </c>
      <c r="D95" s="74" t="s">
        <v>341</v>
      </c>
      <c r="E95" s="75" t="s">
        <v>77</v>
      </c>
    </row>
    <row r="96" spans="1:5" x14ac:dyDescent="0.3">
      <c r="A96" s="71" t="str">
        <f t="shared" si="0"/>
        <v xml:space="preserve">h.2. Didinti kaimo gyventojų užimtumą ir  socialinę įtrauktį </v>
      </c>
      <c r="B96" s="73" t="s">
        <v>270</v>
      </c>
      <c r="C96" s="74" t="s">
        <v>271</v>
      </c>
      <c r="D96" s="74" t="s">
        <v>280</v>
      </c>
      <c r="E96" s="75" t="s">
        <v>77</v>
      </c>
    </row>
    <row r="97" spans="1:5" x14ac:dyDescent="0.3">
      <c r="A97" s="71" t="str">
        <f t="shared" si="0"/>
        <v xml:space="preserve">h.4 . Modernizuoti kaimo vietoves didinant gyvenimo sąlygų jose patrauklumą </v>
      </c>
      <c r="B97" s="73" t="s">
        <v>272</v>
      </c>
      <c r="C97" s="74" t="s">
        <v>273</v>
      </c>
      <c r="D97" s="74" t="s">
        <v>285</v>
      </c>
      <c r="E97" s="75" t="s">
        <v>363</v>
      </c>
    </row>
    <row r="98" spans="1:5" x14ac:dyDescent="0.3">
      <c r="A98" s="71" t="str">
        <f t="shared" si="0"/>
        <v>h.5. Skatinti bioekonomikos verslus</v>
      </c>
      <c r="B98" s="73" t="s">
        <v>274</v>
      </c>
      <c r="C98" s="74" t="s">
        <v>10</v>
      </c>
      <c r="D98" s="74" t="s">
        <v>290</v>
      </c>
      <c r="E98" s="75" t="s">
        <v>77</v>
      </c>
    </row>
    <row r="99" spans="1:5" ht="20.399999999999999" x14ac:dyDescent="0.35">
      <c r="A99" s="478" t="s">
        <v>276</v>
      </c>
      <c r="B99" s="73"/>
      <c r="C99" s="74"/>
      <c r="D99" s="74"/>
      <c r="E99" s="75"/>
    </row>
    <row r="100" spans="1:5" x14ac:dyDescent="0.3">
      <c r="A100" s="71" t="str">
        <f t="shared" si="0"/>
        <v>a.1. Palaikyti žemės ūkio veiklos tęstinumą ir tvarumą</v>
      </c>
      <c r="B100" s="73" t="s">
        <v>278</v>
      </c>
      <c r="C100" s="74" t="s">
        <v>279</v>
      </c>
      <c r="D100" s="74" t="s">
        <v>280</v>
      </c>
      <c r="E100" s="75" t="s">
        <v>77</v>
      </c>
    </row>
    <row r="101" spans="1:5" x14ac:dyDescent="0.3">
      <c r="A101" s="71" t="str">
        <f t="shared" si="0"/>
        <v xml:space="preserve">a.2. Didinti mažų ir vidutinių ūkių gyvybingumą labiau remiant jų pajamas </v>
      </c>
      <c r="B101" s="73" t="s">
        <v>281</v>
      </c>
      <c r="C101" s="74" t="s">
        <v>282</v>
      </c>
      <c r="D101" s="74" t="s">
        <v>280</v>
      </c>
      <c r="E101" s="75" t="s">
        <v>77</v>
      </c>
    </row>
    <row r="102" spans="1:5" x14ac:dyDescent="0.3">
      <c r="A102" s="71" t="str">
        <f t="shared" si="0"/>
        <v xml:space="preserve">a.3. Palaikyti ekonominius sunkumus patiriančių žemės ūkio sektorių gamybos lygį </v>
      </c>
      <c r="B102" s="73" t="s">
        <v>283</v>
      </c>
      <c r="C102" s="74" t="s">
        <v>284</v>
      </c>
      <c r="D102" s="74" t="s">
        <v>285</v>
      </c>
      <c r="E102" s="75" t="s">
        <v>77</v>
      </c>
    </row>
    <row r="103" spans="1:5" x14ac:dyDescent="0.3">
      <c r="A103" s="71" t="str">
        <f t="shared" si="0"/>
        <v>a.4. Padidinti jaunųjų ūkininkų ūkių ekonominį pajėgumą</v>
      </c>
      <c r="B103" s="73" t="s">
        <v>286</v>
      </c>
      <c r="C103" s="74" t="s">
        <v>287</v>
      </c>
      <c r="D103" s="74" t="s">
        <v>280</v>
      </c>
      <c r="E103" s="75" t="s">
        <v>77</v>
      </c>
    </row>
    <row r="104" spans="1:5" x14ac:dyDescent="0.3">
      <c r="A104" s="71" t="str">
        <f t="shared" si="0"/>
        <v>a.5. Didinti žemės ūkio subjektų galimybes pasinaudoti alternatyviais finansiniais ištekliais</v>
      </c>
      <c r="B104" s="73" t="s">
        <v>288</v>
      </c>
      <c r="C104" s="74" t="s">
        <v>289</v>
      </c>
      <c r="D104" s="74" t="s">
        <v>290</v>
      </c>
      <c r="E104" s="75" t="s">
        <v>77</v>
      </c>
    </row>
    <row r="105" spans="1:5" x14ac:dyDescent="0.3">
      <c r="A105" s="71" t="str">
        <f t="shared" si="0"/>
        <v xml:space="preserve">a.6. Skatinti rizikų valdymo priemonių taikymą ūkiuose </v>
      </c>
      <c r="B105" s="73" t="s">
        <v>291</v>
      </c>
      <c r="C105" s="74" t="s">
        <v>292</v>
      </c>
      <c r="D105" s="74" t="s">
        <v>290</v>
      </c>
      <c r="E105" s="75" t="s">
        <v>77</v>
      </c>
    </row>
    <row r="106" spans="1:5" x14ac:dyDescent="0.3">
      <c r="A106" s="71" t="str">
        <f t="shared" si="0"/>
        <v>a.7. Palaikyti ūkių ekonominį ir aplinkosauginį tvarumą vietovėse, turinčiose gamtinių ir kt. kliūčių</v>
      </c>
      <c r="B106" s="73" t="s">
        <v>293</v>
      </c>
      <c r="C106" s="74" t="s">
        <v>294</v>
      </c>
      <c r="D106" s="74" t="s">
        <v>285</v>
      </c>
      <c r="E106" s="75" t="s">
        <v>77</v>
      </c>
    </row>
    <row r="107" spans="1:5" x14ac:dyDescent="0.3">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3">
      <c r="A108" s="71" t="str">
        <f t="shared" si="0"/>
        <v>b.2. Didinti inovatyvių / pažangių technologijų diegimą ūkiuose</v>
      </c>
      <c r="B108" s="73" t="s">
        <v>297</v>
      </c>
      <c r="C108" s="74" t="s">
        <v>298</v>
      </c>
      <c r="D108" s="74" t="s">
        <v>280</v>
      </c>
      <c r="E108" s="75" t="s">
        <v>77</v>
      </c>
    </row>
    <row r="109" spans="1:5" x14ac:dyDescent="0.3">
      <c r="A109" s="71" t="str">
        <f t="shared" si="0"/>
        <v>b.3. Atnaujinti esamas melioracijos sistemas, pertvarkant į reguliuojamas</v>
      </c>
      <c r="B109" s="73" t="s">
        <v>299</v>
      </c>
      <c r="C109" s="74" t="s">
        <v>300</v>
      </c>
      <c r="D109" s="74" t="s">
        <v>280</v>
      </c>
      <c r="E109" s="75" t="s">
        <v>77</v>
      </c>
    </row>
    <row r="110" spans="1:5" x14ac:dyDescent="0.3">
      <c r="A110" s="71" t="str">
        <f t="shared" si="0"/>
        <v>b.4. Skatinti beatliekinę veiklą ūkiuose</v>
      </c>
      <c r="B110" s="73" t="s">
        <v>301</v>
      </c>
      <c r="C110" s="74" t="s">
        <v>302</v>
      </c>
      <c r="D110" s="74" t="s">
        <v>285</v>
      </c>
      <c r="E110" s="75" t="s">
        <v>77</v>
      </c>
    </row>
    <row r="111" spans="1:5" x14ac:dyDescent="0.3">
      <c r="A111" s="71" t="str">
        <f t="shared" si="0"/>
        <v>b.5. Skatinti novatoriškų (naujoviškų) produktų iš biomasės gamybą</v>
      </c>
      <c r="B111" s="73" t="s">
        <v>303</v>
      </c>
      <c r="C111" s="74" t="s">
        <v>304</v>
      </c>
      <c r="D111" s="74" t="s">
        <v>285</v>
      </c>
      <c r="E111" s="75" t="s">
        <v>77</v>
      </c>
    </row>
    <row r="112" spans="1:5" x14ac:dyDescent="0.3">
      <c r="A112" s="71" t="str">
        <f t="shared" si="0"/>
        <v>c.1. Skatinti ūkių bendradarbiavimą, įskaitant gamintojų organizacijų kūrimąsi</v>
      </c>
      <c r="B112" s="73" t="s">
        <v>305</v>
      </c>
      <c r="C112" s="74" t="s">
        <v>306</v>
      </c>
      <c r="D112" s="74" t="s">
        <v>285</v>
      </c>
      <c r="E112" s="75" t="s">
        <v>77</v>
      </c>
    </row>
    <row r="113" spans="1:5" x14ac:dyDescent="0.3">
      <c r="A113" s="71" t="str">
        <f t="shared" si="0"/>
        <v>c.2. Didinti ūkininkų derybinę galią, ypač dalyvaujant trumpose tiekimo grandinėse</v>
      </c>
      <c r="B113" s="73" t="s">
        <v>307</v>
      </c>
      <c r="C113" s="74" t="s">
        <v>308</v>
      </c>
      <c r="D113" s="74" t="s">
        <v>280</v>
      </c>
      <c r="E113" s="75" t="s">
        <v>77</v>
      </c>
    </row>
    <row r="114" spans="1:5" x14ac:dyDescent="0.3">
      <c r="A114" s="71" t="str">
        <f t="shared" si="0"/>
        <v>c.3. Skatinti kooperatyvus teikti paslaugas savo nariams, pritaikant dalijimosi ekonomikos principus</v>
      </c>
      <c r="B114" s="73" t="s">
        <v>309</v>
      </c>
      <c r="C114" s="74" t="s">
        <v>310</v>
      </c>
      <c r="D114" s="74" t="s">
        <v>290</v>
      </c>
      <c r="E114" s="75" t="s">
        <v>77</v>
      </c>
    </row>
    <row r="115" spans="1:5" x14ac:dyDescent="0.3">
      <c r="A115" s="71" t="str">
        <f t="shared" si="0"/>
        <v>c.4. Skatinti ūkio subjektus gaminti aukštesnės pridėtinės vertės produkciją</v>
      </c>
      <c r="B115" s="73" t="s">
        <v>311</v>
      </c>
      <c r="C115" s="74" t="s">
        <v>312</v>
      </c>
      <c r="D115" s="74" t="s">
        <v>285</v>
      </c>
      <c r="E115" s="75" t="s">
        <v>77</v>
      </c>
    </row>
    <row r="116" spans="1:5" x14ac:dyDescent="0.3">
      <c r="A116" s="71" t="str">
        <f t="shared" si="0"/>
        <v xml:space="preserve">d.1. Didinti ŠESD absorbavimą skatinant miškų veisimą </v>
      </c>
      <c r="B116" s="73" t="s">
        <v>313</v>
      </c>
      <c r="C116" s="74" t="s">
        <v>314</v>
      </c>
      <c r="D116" s="74" t="s">
        <v>285</v>
      </c>
      <c r="E116" s="75" t="s">
        <v>77</v>
      </c>
    </row>
    <row r="117" spans="1:5" x14ac:dyDescent="0.3">
      <c r="A117" s="71" t="str">
        <f t="shared" si="0"/>
        <v>d.2. Taikyti technologijas mažinančias ŠESD emisijas ir didinančias organinės anglies kiekį dirvožemyje</v>
      </c>
      <c r="B117" s="73" t="s">
        <v>315</v>
      </c>
      <c r="C117" s="74" t="s">
        <v>316</v>
      </c>
      <c r="D117" s="74" t="s">
        <v>285</v>
      </c>
      <c r="E117" s="75" t="s">
        <v>77</v>
      </c>
    </row>
    <row r="118" spans="1:5" x14ac:dyDescent="0.3">
      <c r="A118" s="71" t="str">
        <f t="shared" si="0"/>
        <v>d.3. Mažinti ŠESD emisijas nusausintuose šlapynėse ir durpynuose</v>
      </c>
      <c r="B118" s="73" t="s">
        <v>317</v>
      </c>
      <c r="C118" s="74" t="s">
        <v>318</v>
      </c>
      <c r="D118" s="74" t="s">
        <v>290</v>
      </c>
      <c r="E118" s="75" t="s">
        <v>77</v>
      </c>
    </row>
    <row r="119" spans="1:5" x14ac:dyDescent="0.3">
      <c r="A119" s="71" t="str">
        <f t="shared" si="0"/>
        <v>d.4. Didinti ūkių atsparumą dėl klimato kaitos kylančiai rizikai taikant modernias vandentvarkos sistemas</v>
      </c>
      <c r="B119" s="73" t="s">
        <v>319</v>
      </c>
      <c r="C119" s="74" t="s">
        <v>320</v>
      </c>
      <c r="D119" s="74" t="s">
        <v>290</v>
      </c>
      <c r="E119" s="75" t="s">
        <v>77</v>
      </c>
    </row>
    <row r="120" spans="1:5" x14ac:dyDescent="0.3">
      <c r="A120" s="71" t="str">
        <f t="shared" si="0"/>
        <v>d.5. Didinti gyvulių mėšlo ir kitų šalutinių žemės ūkio produktų panaudojimą energijos gamybai</v>
      </c>
      <c r="B120" s="73" t="s">
        <v>321</v>
      </c>
      <c r="C120" s="74" t="s">
        <v>322</v>
      </c>
      <c r="D120" s="74" t="s">
        <v>290</v>
      </c>
      <c r="E120" s="75" t="s">
        <v>363</v>
      </c>
    </row>
    <row r="121" spans="1:5" x14ac:dyDescent="0.3">
      <c r="A121" s="71" t="str">
        <f t="shared" si="0"/>
        <v>e.1. Taikyti žemės ūkio praktikas, kurios stabdytų dirvožemio eroziją, ypač dirbamuose šlaituose</v>
      </c>
      <c r="B121" s="73" t="s">
        <v>323</v>
      </c>
      <c r="C121" s="74" t="s">
        <v>324</v>
      </c>
      <c r="D121" s="74" t="s">
        <v>280</v>
      </c>
      <c r="E121" s="75" t="s">
        <v>77</v>
      </c>
    </row>
    <row r="122" spans="1:5" x14ac:dyDescent="0.3">
      <c r="A122" s="71" t="str">
        <f t="shared" si="0"/>
        <v>e.2. Mažinti tręšimą mineralinėmis trąšomis ir didinti tvarių mėšlo tvarkymo technologijų naudojimą</v>
      </c>
      <c r="B122" s="73" t="s">
        <v>325</v>
      </c>
      <c r="C122" s="74" t="s">
        <v>326</v>
      </c>
      <c r="D122" s="74" t="s">
        <v>280</v>
      </c>
      <c r="E122" s="75" t="s">
        <v>77</v>
      </c>
    </row>
    <row r="123" spans="1:5" x14ac:dyDescent="0.3">
      <c r="A123" s="71" t="str">
        <f t="shared" si="0"/>
        <v>e.3. Gerinti paviršinio vandens kokybę, ypač rizikos vandenų teritorijose</v>
      </c>
      <c r="B123" s="73" t="s">
        <v>327</v>
      </c>
      <c r="C123" s="74" t="s">
        <v>328</v>
      </c>
      <c r="D123" s="74" t="s">
        <v>280</v>
      </c>
      <c r="E123" s="75" t="s">
        <v>77</v>
      </c>
    </row>
    <row r="124" spans="1:5" x14ac:dyDescent="0.3">
      <c r="A124" s="71" t="str">
        <f t="shared" si="0"/>
        <v>f.1. Gerinti biologinės įvairovės būklę žemės ūkio naudmenose, taikant tvarias žemės ūkio praktikas</v>
      </c>
      <c r="B124" s="73" t="s">
        <v>329</v>
      </c>
      <c r="C124" s="74" t="s">
        <v>330</v>
      </c>
      <c r="D124" s="74" t="s">
        <v>285</v>
      </c>
      <c r="E124" s="75" t="s">
        <v>77</v>
      </c>
    </row>
    <row r="125" spans="1:5" x14ac:dyDescent="0.3">
      <c r="A125" s="71" t="str">
        <f t="shared" si="0"/>
        <v>f.2. Gerinti su žemės ūkiu ir miškais susijusių buveinių būklę</v>
      </c>
      <c r="B125" s="73" t="s">
        <v>331</v>
      </c>
      <c r="C125" s="74" t="s">
        <v>332</v>
      </c>
      <c r="D125" s="74" t="s">
        <v>280</v>
      </c>
      <c r="E125" s="75" t="s">
        <v>77</v>
      </c>
    </row>
    <row r="126" spans="1:5" x14ac:dyDescent="0.3">
      <c r="A126" s="71" t="str">
        <f t="shared" si="0"/>
        <v>f.3. Saugoti biologinės įvairovės apsaugos požiūriu vertingus agrarinio kraštovaizdžio elementus</v>
      </c>
      <c r="B126" s="73" t="s">
        <v>333</v>
      </c>
      <c r="C126" s="74" t="s">
        <v>334</v>
      </c>
      <c r="D126" s="74" t="s">
        <v>285</v>
      </c>
      <c r="E126" s="75" t="s">
        <v>77</v>
      </c>
    </row>
    <row r="127" spans="1:5" x14ac:dyDescent="0.3">
      <c r="A127" s="71" t="str">
        <f t="shared" si="0"/>
        <v>g.1. Pritraukti ir išlaikyti jaunus žmones, įskaitant jaunuosius ūkininkus, kaimo vietovėse</v>
      </c>
      <c r="B127" s="73" t="s">
        <v>335</v>
      </c>
      <c r="C127" s="74" t="s">
        <v>336</v>
      </c>
      <c r="D127" s="74" t="s">
        <v>280</v>
      </c>
      <c r="E127" s="75" t="s">
        <v>77</v>
      </c>
    </row>
    <row r="128" spans="1:5" x14ac:dyDescent="0.3">
      <c r="A128" s="71" t="str">
        <f t="shared" si="0"/>
        <v>g.2 . Gerinti jaunųjų ūkininkų žinių ir įgūdžių lygį, sudarant galimybę jiems mokytis, gauti konsultacijas</v>
      </c>
      <c r="B128" s="73" t="s">
        <v>337</v>
      </c>
      <c r="C128" s="74" t="s">
        <v>338</v>
      </c>
      <c r="D128" s="74" t="s">
        <v>280</v>
      </c>
      <c r="E128" s="75" t="s">
        <v>77</v>
      </c>
    </row>
    <row r="129" spans="1:5" x14ac:dyDescent="0.3">
      <c r="A129" s="71" t="str">
        <f t="shared" si="0"/>
        <v>g.4 . Didinti jaunųjų ūkininkų prieinamumą prie žemės ir finansinių išteklių</v>
      </c>
      <c r="B129" s="73" t="s">
        <v>339</v>
      </c>
      <c r="C129" s="74" t="s">
        <v>340</v>
      </c>
      <c r="D129" s="74" t="s">
        <v>280</v>
      </c>
      <c r="E129" s="75" t="s">
        <v>363</v>
      </c>
    </row>
    <row r="130" spans="1:5" x14ac:dyDescent="0.3">
      <c r="A130" s="71" t="str">
        <f t="shared" si="0"/>
        <v>h.7. Skatinti miškuose tvarią ūkinę veiklą</v>
      </c>
      <c r="B130" s="73" t="s">
        <v>342</v>
      </c>
      <c r="C130" s="74" t="s">
        <v>343</v>
      </c>
      <c r="D130" s="74" t="s">
        <v>290</v>
      </c>
      <c r="E130" s="75" t="s">
        <v>76</v>
      </c>
    </row>
    <row r="131" spans="1:5" x14ac:dyDescent="0.3">
      <c r="A131" s="71" t="str">
        <f t="shared" si="0"/>
        <v>i.1. Skatinti saugių, ekologiškų, aukštos ir išskirtinės kokybės žemės ūkio ir maisto produktų vartojimą</v>
      </c>
      <c r="B131" s="73" t="s">
        <v>344</v>
      </c>
      <c r="C131" s="74" t="s">
        <v>345</v>
      </c>
      <c r="D131" s="74" t="s">
        <v>285</v>
      </c>
      <c r="E131" s="75" t="s">
        <v>77</v>
      </c>
    </row>
    <row r="132" spans="1:5" x14ac:dyDescent="0.3">
      <c r="A132" s="71" t="str">
        <f t="shared" si="0"/>
        <v>i.2. Skatinti ūkiuose taikyti integruotas kenksmingųjųų organizmų kontrolės praktikas</v>
      </c>
      <c r="B132" s="73" t="s">
        <v>346</v>
      </c>
      <c r="C132" s="74" t="s">
        <v>347</v>
      </c>
      <c r="D132" s="74" t="s">
        <v>290</v>
      </c>
      <c r="E132" s="75" t="s">
        <v>77</v>
      </c>
    </row>
    <row r="133" spans="1:5" x14ac:dyDescent="0.3">
      <c r="A133" s="71" t="str">
        <f t="shared" si="0"/>
        <v>i.3. Skatinti ūkinių gyvūnų laikytojus prisiimti aukštesnius gyvūnų gerovės standartus</v>
      </c>
      <c r="B133" s="73" t="s">
        <v>348</v>
      </c>
      <c r="C133" s="74" t="s">
        <v>349</v>
      </c>
      <c r="D133" s="74" t="s">
        <v>290</v>
      </c>
      <c r="E133" s="75" t="s">
        <v>77</v>
      </c>
    </row>
    <row r="134" spans="1:5" x14ac:dyDescent="0.3">
      <c r="A134" s="71" t="str">
        <f t="shared" si="0"/>
        <v>i.4. Gerinti institucijų, atsakingų už augalų ir gyvūnų ligų prevenciją ir kontrolę, aprūpinimą įranga</v>
      </c>
      <c r="B134" s="73" t="s">
        <v>350</v>
      </c>
      <c r="C134" s="74" t="s">
        <v>351</v>
      </c>
      <c r="D134" s="74" t="s">
        <v>290</v>
      </c>
      <c r="E134" s="75" t="s">
        <v>76</v>
      </c>
    </row>
    <row r="135" spans="1:5" x14ac:dyDescent="0.3">
      <c r="A135" s="71" t="str">
        <f t="shared" si="0"/>
        <v>i.5. Stiprinti prevencinių biosaugos priemonių taikymą, mažinant gyvulių infekcinių susirgimų riziką</v>
      </c>
      <c r="B135" s="73" t="s">
        <v>352</v>
      </c>
      <c r="C135" s="74" t="s">
        <v>353</v>
      </c>
      <c r="D135" s="74" t="s">
        <v>285</v>
      </c>
      <c r="E135" s="75" t="s">
        <v>77</v>
      </c>
    </row>
    <row r="136" spans="1:5" x14ac:dyDescent="0.3">
      <c r="A136" s="71" t="str">
        <f t="shared" si="0"/>
        <v>k.1. Didinti žinių ir inovacijų sklaidą žemės ūkyje</v>
      </c>
      <c r="B136" s="73" t="s">
        <v>354</v>
      </c>
      <c r="C136" s="74" t="s">
        <v>355</v>
      </c>
      <c r="D136" s="74" t="s">
        <v>356</v>
      </c>
      <c r="E136" s="75" t="s">
        <v>77</v>
      </c>
    </row>
    <row r="137" spans="1:5" x14ac:dyDescent="0.3">
      <c r="A137" s="71" t="str">
        <f t="shared" si="0"/>
        <v>k.2. Didinti konsultavimo paslaugų formų įvairovę, geriau užtikrinti jų atitikimą ūkininkų poreikiams</v>
      </c>
      <c r="B137" s="73" t="s">
        <v>357</v>
      </c>
      <c r="C137" s="74" t="s">
        <v>358</v>
      </c>
      <c r="D137" s="74" t="s">
        <v>356</v>
      </c>
      <c r="E137" s="75" t="s">
        <v>77</v>
      </c>
    </row>
    <row r="138" spans="1:5" x14ac:dyDescent="0.3">
      <c r="A138" s="71" t="str">
        <f t="shared" si="0"/>
        <v>k.3. Užtikrinti aukštą konsultantų kompetenciją ir jų teikiamų konsultacijų kokybę</v>
      </c>
      <c r="B138" s="73" t="s">
        <v>359</v>
      </c>
      <c r="C138" s="74" t="s">
        <v>360</v>
      </c>
      <c r="D138" s="74" t="s">
        <v>356</v>
      </c>
      <c r="E138" s="75" t="s">
        <v>77</v>
      </c>
    </row>
    <row r="139" spans="1:5" x14ac:dyDescent="0.3">
      <c r="A139" s="71" t="str">
        <f t="shared" si="0"/>
        <v xml:space="preserve">k.4. Mažinti skaitmeninę atskirtį žemės ūkyje ir kaimo vietovėse </v>
      </c>
      <c r="B139" s="73" t="s">
        <v>361</v>
      </c>
      <c r="C139" s="74" t="s">
        <v>362</v>
      </c>
      <c r="D139" s="74" t="s">
        <v>356</v>
      </c>
      <c r="E139" s="75" t="s">
        <v>77</v>
      </c>
    </row>
    <row r="140" spans="1:5" x14ac:dyDescent="0.3">
      <c r="A140" s="71" t="str">
        <f t="shared" si="0"/>
        <v xml:space="preserve">. </v>
      </c>
      <c r="B140" s="73"/>
      <c r="C140" s="74"/>
      <c r="D140" s="74"/>
      <c r="E140" s="75"/>
    </row>
    <row r="141" spans="1:5" x14ac:dyDescent="0.3">
      <c r="A141" s="71" t="str">
        <f t="shared" si="0"/>
        <v xml:space="preserve">. </v>
      </c>
      <c r="B141" s="73"/>
      <c r="C141" s="74"/>
      <c r="D141" s="74"/>
      <c r="E141" s="75"/>
    </row>
    <row r="142" spans="1:5" x14ac:dyDescent="0.3">
      <c r="A142" s="71" t="str">
        <f t="shared" si="0"/>
        <v xml:space="preserve">. </v>
      </c>
      <c r="B142" s="73"/>
      <c r="C142" s="74"/>
      <c r="D142" s="74"/>
      <c r="E142" s="75"/>
    </row>
    <row r="143" spans="1:5" x14ac:dyDescent="0.3">
      <c r="A143" s="71" t="str">
        <f t="shared" si="0"/>
        <v xml:space="preserve">. </v>
      </c>
      <c r="B143" s="73"/>
      <c r="C143" s="74"/>
      <c r="D143" s="74"/>
      <c r="E143" s="75"/>
    </row>
    <row r="144" spans="1:5" x14ac:dyDescent="0.3">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26</vt:i4>
      </vt:variant>
      <vt:variant>
        <vt:lpstr>Įvardytieji diapazonai</vt:lpstr>
      </vt:variant>
      <vt:variant>
        <vt:i4>35</vt:i4>
      </vt:variant>
    </vt:vector>
  </HeadingPairs>
  <TitlesOfParts>
    <vt:vector size="61"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Lapas1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Alvyda Kazakevičiūtė-Staniunaitienė</cp:lastModifiedBy>
  <cp:lastPrinted>2022-09-29T13:18:28Z</cp:lastPrinted>
  <dcterms:created xsi:type="dcterms:W3CDTF">2022-07-05T10:44:58Z</dcterms:created>
  <dcterms:modified xsi:type="dcterms:W3CDTF">2024-05-06T13:43:36Z</dcterms:modified>
</cp:coreProperties>
</file>